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CFH\MCHS\MVSS\Reports\03_VitalStatTrends\vitalstats\reports\"/>
    </mc:Choice>
  </mc:AlternateContent>
  <bookViews>
    <workbookView xWindow="120" yWindow="255" windowWidth="9735" windowHeight="5535" tabRatio="555" firstSheet="1" activeTab="1"/>
  </bookViews>
  <sheets>
    <sheet name="Template IF 2" sheetId="1" state="hidden" r:id="rId1"/>
    <sheet name="Title Page" sheetId="10" r:id="rId2"/>
    <sheet name="Instructions" sheetId="5" r:id="rId3"/>
    <sheet name="Trends" sheetId="2" r:id="rId4"/>
  </sheets>
  <definedNames>
    <definedName name="_xlnm.Print_Area" localSheetId="2">Instructions!$A$1:$J$132</definedName>
    <definedName name="_xlnm.Print_Area" localSheetId="3">Trends!$A$1:$L$313</definedName>
  </definedNames>
  <calcPr calcId="162913"/>
</workbook>
</file>

<file path=xl/calcChain.xml><?xml version="1.0" encoding="utf-8"?>
<calcChain xmlns="http://schemas.openxmlformats.org/spreadsheetml/2006/main">
  <c r="BN107" i="1" l="1"/>
  <c r="BN106" i="1"/>
  <c r="BN102" i="1"/>
  <c r="BN101" i="1"/>
  <c r="AP91" i="1" l="1"/>
  <c r="AP92" i="1"/>
  <c r="AP93" i="1"/>
  <c r="AP94" i="1"/>
  <c r="AP95" i="1"/>
  <c r="AP96" i="1"/>
  <c r="AP97" i="1"/>
  <c r="AP98" i="1"/>
  <c r="AP99" i="1"/>
  <c r="AP100" i="1"/>
  <c r="AP101" i="1"/>
  <c r="AP102" i="1"/>
  <c r="AP103" i="1"/>
  <c r="AP104" i="1"/>
  <c r="AP105" i="1"/>
  <c r="AP106" i="1"/>
  <c r="AP107" i="1"/>
  <c r="AP108" i="1"/>
  <c r="EM91" i="1" l="1"/>
  <c r="EL91" i="1"/>
  <c r="EL92" i="1"/>
  <c r="EL93" i="1"/>
  <c r="EL94" i="1"/>
  <c r="EL95" i="1"/>
  <c r="EL96" i="1"/>
  <c r="EL97" i="1"/>
  <c r="EL98" i="1"/>
  <c r="EL99" i="1"/>
  <c r="EL100" i="1"/>
  <c r="EL101" i="1"/>
  <c r="EL102" i="1"/>
  <c r="EL103" i="1"/>
  <c r="EK91" i="1"/>
  <c r="EK108" i="1"/>
  <c r="EK107" i="1"/>
  <c r="EK106" i="1"/>
  <c r="EK105" i="1"/>
  <c r="EK104" i="1"/>
  <c r="EK103" i="1"/>
  <c r="EK102" i="1"/>
  <c r="EK101" i="1"/>
  <c r="EK100" i="1"/>
  <c r="EK99" i="1"/>
  <c r="EK98" i="1"/>
  <c r="EK97" i="1"/>
  <c r="EK96" i="1"/>
  <c r="EK95" i="1"/>
  <c r="EK94" i="1"/>
  <c r="EK93" i="1"/>
  <c r="EK92" i="1"/>
  <c r="BN91" i="1" l="1"/>
  <c r="EB91" i="1" l="1"/>
  <c r="EC91" i="1"/>
  <c r="ED91" i="1"/>
  <c r="EE91" i="1"/>
  <c r="EB92" i="1"/>
  <c r="EC92" i="1"/>
  <c r="ED92" i="1"/>
  <c r="EE92" i="1"/>
  <c r="EB93" i="1"/>
  <c r="EC93" i="1"/>
  <c r="ED93" i="1"/>
  <c r="EE93" i="1"/>
  <c r="EB94" i="1"/>
  <c r="EC94" i="1"/>
  <c r="ED94" i="1"/>
  <c r="EE94" i="1"/>
  <c r="EB95" i="1"/>
  <c r="EC95" i="1"/>
  <c r="ED95" i="1"/>
  <c r="EE95" i="1"/>
  <c r="EB96" i="1"/>
  <c r="EC96" i="1"/>
  <c r="ED96" i="1"/>
  <c r="EE96" i="1"/>
  <c r="EB97" i="1"/>
  <c r="EC97" i="1"/>
  <c r="ED97" i="1"/>
  <c r="EE97" i="1"/>
  <c r="EB98" i="1"/>
  <c r="EC98" i="1"/>
  <c r="ED98" i="1"/>
  <c r="EE98" i="1"/>
  <c r="EB99" i="1"/>
  <c r="EC99" i="1"/>
  <c r="ED99" i="1"/>
  <c r="EE99" i="1"/>
  <c r="EB100" i="1"/>
  <c r="EC100" i="1"/>
  <c r="ED100" i="1"/>
  <c r="EE100" i="1"/>
  <c r="EB101" i="1"/>
  <c r="EC101" i="1"/>
  <c r="ED101" i="1"/>
  <c r="EE101" i="1"/>
  <c r="EB102" i="1"/>
  <c r="EC102" i="1"/>
  <c r="ED102" i="1"/>
  <c r="EE102" i="1"/>
  <c r="EB103" i="1"/>
  <c r="EC103" i="1"/>
  <c r="ED103" i="1"/>
  <c r="EE103" i="1"/>
  <c r="EB104" i="1"/>
  <c r="EC104" i="1"/>
  <c r="ED104" i="1"/>
  <c r="EE104" i="1"/>
  <c r="EB105" i="1"/>
  <c r="EC105" i="1"/>
  <c r="ED105" i="1"/>
  <c r="EE105" i="1"/>
  <c r="EB106" i="1"/>
  <c r="EC106" i="1"/>
  <c r="ED106" i="1"/>
  <c r="EE106" i="1"/>
  <c r="EB107" i="1"/>
  <c r="EC107" i="1"/>
  <c r="ED107" i="1"/>
  <c r="EE107" i="1"/>
  <c r="EB108" i="1"/>
  <c r="EC108" i="1"/>
  <c r="ED108" i="1"/>
  <c r="EE108" i="1"/>
  <c r="DX91" i="1"/>
  <c r="DY91" i="1"/>
  <c r="DZ91" i="1"/>
  <c r="EA91" i="1"/>
  <c r="DX92" i="1"/>
  <c r="DY92" i="1"/>
  <c r="DZ92" i="1"/>
  <c r="EA92" i="1"/>
  <c r="DX93" i="1"/>
  <c r="DY93" i="1"/>
  <c r="DZ93" i="1"/>
  <c r="EA93" i="1"/>
  <c r="DX94" i="1"/>
  <c r="DY94" i="1"/>
  <c r="DZ94" i="1"/>
  <c r="EA94" i="1"/>
  <c r="DX95" i="1"/>
  <c r="DY95" i="1"/>
  <c r="DZ95" i="1"/>
  <c r="EA95" i="1"/>
  <c r="DX96" i="1"/>
  <c r="DY96" i="1"/>
  <c r="DZ96" i="1"/>
  <c r="EA96" i="1"/>
  <c r="DX97" i="1"/>
  <c r="DY97" i="1"/>
  <c r="DZ97" i="1"/>
  <c r="EA97" i="1"/>
  <c r="DX98" i="1"/>
  <c r="DY98" i="1"/>
  <c r="DZ98" i="1"/>
  <c r="EA98" i="1"/>
  <c r="DX99" i="1"/>
  <c r="DY99" i="1"/>
  <c r="DZ99" i="1"/>
  <c r="EA99" i="1"/>
  <c r="DX100" i="1"/>
  <c r="DY100" i="1"/>
  <c r="DZ100" i="1"/>
  <c r="EA100" i="1"/>
  <c r="DX101" i="1"/>
  <c r="DY101" i="1"/>
  <c r="DZ101" i="1"/>
  <c r="EA101" i="1"/>
  <c r="DX102" i="1"/>
  <c r="DY102" i="1"/>
  <c r="DZ102" i="1"/>
  <c r="EA102" i="1"/>
  <c r="DX103" i="1"/>
  <c r="DY103" i="1"/>
  <c r="DZ103" i="1"/>
  <c r="EA103" i="1"/>
  <c r="DX104" i="1"/>
  <c r="DY104" i="1"/>
  <c r="DZ104" i="1"/>
  <c r="EA104" i="1"/>
  <c r="DX105" i="1"/>
  <c r="DY105" i="1"/>
  <c r="DZ105" i="1"/>
  <c r="EA105" i="1"/>
  <c r="DX106" i="1"/>
  <c r="DY106" i="1"/>
  <c r="DZ106" i="1"/>
  <c r="EA106" i="1"/>
  <c r="DX107" i="1"/>
  <c r="DY107" i="1"/>
  <c r="DZ107" i="1"/>
  <c r="EA107" i="1"/>
  <c r="DX108" i="1"/>
  <c r="DY108" i="1"/>
  <c r="DZ108" i="1"/>
  <c r="EA108" i="1"/>
  <c r="DX109" i="1"/>
  <c r="DY109" i="1"/>
  <c r="DZ109" i="1"/>
  <c r="EA109" i="1"/>
  <c r="DW108" i="1"/>
  <c r="DW107" i="1"/>
  <c r="DW106" i="1"/>
  <c r="DW105" i="1"/>
  <c r="DW104" i="1"/>
  <c r="DW103" i="1"/>
  <c r="DW102" i="1"/>
  <c r="DW101" i="1"/>
  <c r="DW100" i="1"/>
  <c r="DW99" i="1"/>
  <c r="DW98" i="1"/>
  <c r="DW97" i="1"/>
  <c r="DW96" i="1"/>
  <c r="DW95" i="1"/>
  <c r="DW94" i="1"/>
  <c r="DW93" i="1"/>
  <c r="DW92" i="1"/>
  <c r="DW91" i="1"/>
  <c r="H96" i="1"/>
  <c r="I96" i="1"/>
  <c r="J96" i="1"/>
  <c r="K96" i="1"/>
  <c r="L96" i="1"/>
  <c r="H97" i="1"/>
  <c r="I97" i="1"/>
  <c r="J97" i="1"/>
  <c r="K97" i="1"/>
  <c r="L97" i="1"/>
  <c r="H98" i="1"/>
  <c r="I98" i="1"/>
  <c r="J98" i="1"/>
  <c r="K98" i="1"/>
  <c r="L98" i="1"/>
  <c r="H99" i="1"/>
  <c r="I99" i="1"/>
  <c r="J99" i="1"/>
  <c r="K99" i="1"/>
  <c r="L99" i="1"/>
  <c r="H100" i="1"/>
  <c r="I100" i="1"/>
  <c r="J100" i="1"/>
  <c r="K100" i="1"/>
  <c r="L100" i="1"/>
  <c r="H101" i="1"/>
  <c r="I101" i="1"/>
  <c r="J101" i="1"/>
  <c r="K101" i="1"/>
  <c r="L101" i="1"/>
  <c r="H102" i="1"/>
  <c r="I102" i="1"/>
  <c r="J102" i="1"/>
  <c r="K102" i="1"/>
  <c r="L102" i="1"/>
  <c r="H103" i="1"/>
  <c r="I103" i="1"/>
  <c r="J103" i="1"/>
  <c r="K103" i="1"/>
  <c r="L103" i="1"/>
  <c r="H104" i="1"/>
  <c r="I104" i="1"/>
  <c r="J104" i="1"/>
  <c r="K104" i="1"/>
  <c r="L104" i="1"/>
  <c r="H105" i="1"/>
  <c r="I105" i="1"/>
  <c r="J105" i="1"/>
  <c r="K105" i="1"/>
  <c r="L105" i="1"/>
  <c r="H106" i="1"/>
  <c r="I106" i="1"/>
  <c r="J106" i="1"/>
  <c r="K106" i="1"/>
  <c r="L106" i="1"/>
  <c r="H107" i="1"/>
  <c r="I107" i="1"/>
  <c r="J107" i="1"/>
  <c r="K107" i="1"/>
  <c r="L107" i="1"/>
  <c r="H108" i="1"/>
  <c r="I108" i="1"/>
  <c r="J108" i="1"/>
  <c r="K108" i="1"/>
  <c r="L108" i="1"/>
  <c r="G97" i="1"/>
  <c r="G98" i="1"/>
  <c r="G99" i="1"/>
  <c r="G100" i="1"/>
  <c r="G101" i="1"/>
  <c r="G102" i="1"/>
  <c r="G103" i="1"/>
  <c r="G104" i="1"/>
  <c r="G105" i="1"/>
  <c r="G106" i="1"/>
  <c r="G107" i="1"/>
  <c r="G108" i="1"/>
  <c r="H95" i="1"/>
  <c r="I95" i="1"/>
  <c r="J95" i="1"/>
  <c r="K95" i="1"/>
  <c r="L95" i="1"/>
  <c r="H94" i="1"/>
  <c r="I94" i="1"/>
  <c r="J94" i="1"/>
  <c r="K94" i="1"/>
  <c r="L94" i="1"/>
  <c r="M94" i="1"/>
  <c r="N94" i="1"/>
  <c r="H93" i="1"/>
  <c r="I93" i="1"/>
  <c r="J93" i="1"/>
  <c r="K93" i="1"/>
  <c r="L93" i="1"/>
  <c r="M93" i="1"/>
  <c r="H92" i="1"/>
  <c r="I92" i="1"/>
  <c r="J92" i="1"/>
  <c r="K92" i="1"/>
  <c r="L92" i="1"/>
  <c r="M92" i="1"/>
  <c r="H91" i="1"/>
  <c r="I91" i="1"/>
  <c r="J91" i="1"/>
  <c r="K91" i="1"/>
  <c r="L91" i="1"/>
  <c r="GF108" i="1" l="1"/>
  <c r="GE108" i="1"/>
  <c r="GD108" i="1"/>
  <c r="GC108" i="1"/>
  <c r="GF107" i="1"/>
  <c r="GE107" i="1"/>
  <c r="GD107" i="1"/>
  <c r="GC107" i="1"/>
  <c r="GF106" i="1"/>
  <c r="GE106" i="1"/>
  <c r="GD106" i="1"/>
  <c r="GC106" i="1"/>
  <c r="GF105" i="1"/>
  <c r="GE105" i="1"/>
  <c r="GD105" i="1"/>
  <c r="GC105" i="1"/>
  <c r="GF104" i="1"/>
  <c r="GE104" i="1"/>
  <c r="GD104" i="1"/>
  <c r="GC104" i="1"/>
  <c r="GF103" i="1"/>
  <c r="GE103" i="1"/>
  <c r="GD103" i="1"/>
  <c r="GC103" i="1"/>
  <c r="GF102" i="1"/>
  <c r="GE102" i="1"/>
  <c r="GD102" i="1"/>
  <c r="GC102" i="1"/>
  <c r="GF101" i="1"/>
  <c r="GE101" i="1"/>
  <c r="GD101" i="1"/>
  <c r="GC101" i="1"/>
  <c r="GF100" i="1"/>
  <c r="GE100" i="1"/>
  <c r="GD100" i="1"/>
  <c r="GC100" i="1"/>
  <c r="GF99" i="1"/>
  <c r="GE99" i="1"/>
  <c r="GD99" i="1"/>
  <c r="GC99" i="1"/>
  <c r="GF98" i="1"/>
  <c r="GE98" i="1"/>
  <c r="GD98" i="1"/>
  <c r="GC98" i="1"/>
  <c r="GF97" i="1"/>
  <c r="GE97" i="1"/>
  <c r="GD97" i="1"/>
  <c r="GC97" i="1"/>
  <c r="GF96" i="1"/>
  <c r="GE96" i="1"/>
  <c r="GD96" i="1"/>
  <c r="GC96" i="1"/>
  <c r="GF95" i="1"/>
  <c r="GE95" i="1"/>
  <c r="GD95" i="1"/>
  <c r="GC95" i="1"/>
  <c r="GF94" i="1"/>
  <c r="GE94" i="1"/>
  <c r="GD94" i="1"/>
  <c r="GC94" i="1"/>
  <c r="GF93" i="1"/>
  <c r="GE93" i="1"/>
  <c r="GD93" i="1"/>
  <c r="GC93" i="1"/>
  <c r="GF92" i="1"/>
  <c r="GE92" i="1"/>
  <c r="GD92" i="1"/>
  <c r="GC92" i="1"/>
  <c r="GF91" i="1"/>
  <c r="GE91" i="1"/>
  <c r="GD91" i="1"/>
  <c r="GC91" i="1"/>
  <c r="FX108" i="1"/>
  <c r="FW108" i="1"/>
  <c r="FV108" i="1"/>
  <c r="FU108" i="1"/>
  <c r="FX107" i="1"/>
  <c r="FW107" i="1"/>
  <c r="FV107" i="1"/>
  <c r="FU107" i="1"/>
  <c r="FX106" i="1"/>
  <c r="FW106" i="1"/>
  <c r="FV106" i="1"/>
  <c r="FU106" i="1"/>
  <c r="FX105" i="1"/>
  <c r="FW105" i="1"/>
  <c r="FV105" i="1"/>
  <c r="FU105" i="1"/>
  <c r="FX104" i="1"/>
  <c r="FW104" i="1"/>
  <c r="FV104" i="1"/>
  <c r="FU104" i="1"/>
  <c r="FX103" i="1"/>
  <c r="FW103" i="1"/>
  <c r="FV103" i="1"/>
  <c r="FU103" i="1"/>
  <c r="FX102" i="1"/>
  <c r="FW102" i="1"/>
  <c r="FV102" i="1"/>
  <c r="FU102" i="1"/>
  <c r="FX101" i="1"/>
  <c r="FW101" i="1"/>
  <c r="FV101" i="1"/>
  <c r="FU101" i="1"/>
  <c r="FX100" i="1"/>
  <c r="FW100" i="1"/>
  <c r="FV100" i="1"/>
  <c r="FU100" i="1"/>
  <c r="FX99" i="1"/>
  <c r="FW99" i="1"/>
  <c r="FV99" i="1"/>
  <c r="FU99" i="1"/>
  <c r="FX98" i="1"/>
  <c r="FW98" i="1"/>
  <c r="FV98" i="1"/>
  <c r="FU98" i="1"/>
  <c r="FX97" i="1"/>
  <c r="FW97" i="1"/>
  <c r="FV97" i="1"/>
  <c r="FU97" i="1"/>
  <c r="FX96" i="1"/>
  <c r="FW96" i="1"/>
  <c r="FV96" i="1"/>
  <c r="FU96" i="1"/>
  <c r="FX95" i="1"/>
  <c r="FW95" i="1"/>
  <c r="FV95" i="1"/>
  <c r="FU95" i="1"/>
  <c r="FX94" i="1"/>
  <c r="FW94" i="1"/>
  <c r="FV94" i="1"/>
  <c r="FU94" i="1"/>
  <c r="FX93" i="1"/>
  <c r="FW93" i="1"/>
  <c r="FV93" i="1"/>
  <c r="FU93" i="1"/>
  <c r="FX92" i="1"/>
  <c r="FW92" i="1"/>
  <c r="FV92" i="1"/>
  <c r="FU92" i="1"/>
  <c r="FX91" i="1"/>
  <c r="FW91" i="1"/>
  <c r="FV91" i="1"/>
  <c r="FU91" i="1"/>
  <c r="FP108" i="1"/>
  <c r="FO108" i="1"/>
  <c r="FN108" i="1"/>
  <c r="FM108" i="1"/>
  <c r="FP107" i="1"/>
  <c r="FO107" i="1"/>
  <c r="FN107" i="1"/>
  <c r="FM107" i="1"/>
  <c r="FP106" i="1"/>
  <c r="FO106" i="1"/>
  <c r="FN106" i="1"/>
  <c r="FM106" i="1"/>
  <c r="FP105" i="1"/>
  <c r="FO105" i="1"/>
  <c r="FN105" i="1"/>
  <c r="FM105" i="1"/>
  <c r="FP104" i="1"/>
  <c r="FO104" i="1"/>
  <c r="FN104" i="1"/>
  <c r="FM104" i="1"/>
  <c r="FP103" i="1"/>
  <c r="FO103" i="1"/>
  <c r="FN103" i="1"/>
  <c r="FM103" i="1"/>
  <c r="FP102" i="1"/>
  <c r="FO102" i="1"/>
  <c r="FN102" i="1"/>
  <c r="FM102" i="1"/>
  <c r="FP101" i="1"/>
  <c r="FO101" i="1"/>
  <c r="FN101" i="1"/>
  <c r="FM101" i="1"/>
  <c r="FP100" i="1"/>
  <c r="FO100" i="1"/>
  <c r="FN100" i="1"/>
  <c r="FM100" i="1"/>
  <c r="FP99" i="1"/>
  <c r="FO99" i="1"/>
  <c r="FN99" i="1"/>
  <c r="FM99" i="1"/>
  <c r="FP98" i="1"/>
  <c r="FO98" i="1"/>
  <c r="FN98" i="1"/>
  <c r="FM98" i="1"/>
  <c r="FP97" i="1"/>
  <c r="FO97" i="1"/>
  <c r="FN97" i="1"/>
  <c r="FM97" i="1"/>
  <c r="FP96" i="1"/>
  <c r="FO96" i="1"/>
  <c r="FN96" i="1"/>
  <c r="FM96" i="1"/>
  <c r="FP95" i="1"/>
  <c r="FO95" i="1"/>
  <c r="FN95" i="1"/>
  <c r="FM95" i="1"/>
  <c r="FP94" i="1"/>
  <c r="FO94" i="1"/>
  <c r="FN94" i="1"/>
  <c r="FM94" i="1"/>
  <c r="FP93" i="1"/>
  <c r="FO93" i="1"/>
  <c r="FN93" i="1"/>
  <c r="FM93" i="1"/>
  <c r="FP92" i="1"/>
  <c r="FO92" i="1"/>
  <c r="FN92" i="1"/>
  <c r="FM92" i="1"/>
  <c r="FP91" i="1"/>
  <c r="FO91" i="1"/>
  <c r="FN91" i="1"/>
  <c r="FM91" i="1"/>
  <c r="FF91" i="1"/>
  <c r="FG91" i="1"/>
  <c r="FH91" i="1"/>
  <c r="FF92" i="1"/>
  <c r="FG92" i="1"/>
  <c r="FH92" i="1"/>
  <c r="FF93" i="1"/>
  <c r="FG93" i="1"/>
  <c r="FH93" i="1"/>
  <c r="FF94" i="1"/>
  <c r="FG94" i="1"/>
  <c r="FH94" i="1"/>
  <c r="FF95" i="1"/>
  <c r="FG95" i="1"/>
  <c r="FH95" i="1"/>
  <c r="FF96" i="1"/>
  <c r="FG96" i="1"/>
  <c r="FH96" i="1"/>
  <c r="FF97" i="1"/>
  <c r="FG97" i="1"/>
  <c r="FH97" i="1"/>
  <c r="FF98" i="1"/>
  <c r="FG98" i="1"/>
  <c r="FH98" i="1"/>
  <c r="FF99" i="1"/>
  <c r="FG99" i="1"/>
  <c r="FH99" i="1"/>
  <c r="FF100" i="1"/>
  <c r="FG100" i="1"/>
  <c r="FH100" i="1"/>
  <c r="FF101" i="1"/>
  <c r="FG101" i="1"/>
  <c r="FH101" i="1"/>
  <c r="FF102" i="1"/>
  <c r="FG102" i="1"/>
  <c r="FH102" i="1"/>
  <c r="FF103" i="1"/>
  <c r="FG103" i="1"/>
  <c r="FH103" i="1"/>
  <c r="FF104" i="1"/>
  <c r="FG104" i="1"/>
  <c r="FH104" i="1"/>
  <c r="FF105" i="1"/>
  <c r="FG105" i="1"/>
  <c r="FH105" i="1"/>
  <c r="FF106" i="1"/>
  <c r="FG106" i="1"/>
  <c r="FH106" i="1"/>
  <c r="FF107" i="1"/>
  <c r="FG107" i="1"/>
  <c r="FH107" i="1"/>
  <c r="FF108" i="1"/>
  <c r="FG108" i="1"/>
  <c r="FH108" i="1"/>
  <c r="FE108" i="1"/>
  <c r="FE107" i="1"/>
  <c r="FE106" i="1"/>
  <c r="FE105" i="1"/>
  <c r="FE104" i="1"/>
  <c r="FE103" i="1"/>
  <c r="FE102" i="1"/>
  <c r="FE101" i="1"/>
  <c r="FE100" i="1"/>
  <c r="FE99" i="1"/>
  <c r="FE98" i="1"/>
  <c r="FE97" i="1"/>
  <c r="FE96" i="1"/>
  <c r="FE95" i="1"/>
  <c r="FE94" i="1"/>
  <c r="FE93" i="1"/>
  <c r="FE92" i="1"/>
  <c r="FE91" i="1"/>
  <c r="EG91" i="1" l="1"/>
  <c r="EH91" i="1"/>
  <c r="EI91" i="1"/>
  <c r="EG92" i="1"/>
  <c r="EH92" i="1"/>
  <c r="EI92" i="1"/>
  <c r="EG93" i="1"/>
  <c r="EH93" i="1"/>
  <c r="EI93" i="1"/>
  <c r="EG94" i="1"/>
  <c r="EH94" i="1"/>
  <c r="EI94" i="1"/>
  <c r="EG95" i="1"/>
  <c r="EH95" i="1"/>
  <c r="EI95" i="1"/>
  <c r="EG96" i="1"/>
  <c r="EH96" i="1"/>
  <c r="EI96" i="1"/>
  <c r="EG97" i="1"/>
  <c r="EH97" i="1"/>
  <c r="EI97" i="1"/>
  <c r="EG98" i="1"/>
  <c r="EH98" i="1"/>
  <c r="EI98" i="1"/>
  <c r="EG99" i="1"/>
  <c r="EH99" i="1"/>
  <c r="EI99" i="1"/>
  <c r="EG100" i="1"/>
  <c r="EH100" i="1"/>
  <c r="EI100" i="1"/>
  <c r="EG101" i="1"/>
  <c r="EH101" i="1"/>
  <c r="EI101" i="1"/>
  <c r="EG102" i="1"/>
  <c r="EH102" i="1"/>
  <c r="EI102" i="1"/>
  <c r="EG103" i="1"/>
  <c r="EH103" i="1"/>
  <c r="EI103" i="1"/>
  <c r="EG104" i="1"/>
  <c r="EH104" i="1"/>
  <c r="EI104" i="1"/>
  <c r="EG105" i="1"/>
  <c r="EH105" i="1"/>
  <c r="EI105" i="1"/>
  <c r="EG106" i="1"/>
  <c r="EH106" i="1"/>
  <c r="EI106" i="1"/>
  <c r="EG107" i="1"/>
  <c r="EH107" i="1"/>
  <c r="EI107" i="1"/>
  <c r="EG108" i="1"/>
  <c r="EH108" i="1"/>
  <c r="EI108" i="1"/>
  <c r="EJ91" i="1"/>
  <c r="EF108" i="1"/>
  <c r="EF107" i="1"/>
  <c r="EF106" i="1"/>
  <c r="EF105" i="1"/>
  <c r="EF104" i="1"/>
  <c r="EF103" i="1"/>
  <c r="EF102" i="1"/>
  <c r="EF101" i="1"/>
  <c r="EF100" i="1"/>
  <c r="EF99" i="1"/>
  <c r="EF98" i="1"/>
  <c r="EF97" i="1"/>
  <c r="EF96" i="1"/>
  <c r="EF95" i="1"/>
  <c r="EF94" i="1"/>
  <c r="EF93" i="1"/>
  <c r="EF92" i="1"/>
  <c r="EF91" i="1"/>
  <c r="DB108" i="1" l="1"/>
  <c r="DA108" i="1"/>
  <c r="CZ108" i="1"/>
  <c r="CY108" i="1"/>
  <c r="DB107" i="1"/>
  <c r="DA107" i="1"/>
  <c r="CZ107" i="1"/>
  <c r="CY107" i="1"/>
  <c r="DB106" i="1"/>
  <c r="DA106" i="1"/>
  <c r="CZ106" i="1"/>
  <c r="CY106" i="1"/>
  <c r="DB105" i="1"/>
  <c r="DA105" i="1"/>
  <c r="CZ105" i="1"/>
  <c r="CY105" i="1"/>
  <c r="DB104" i="1"/>
  <c r="DA104" i="1"/>
  <c r="CZ104" i="1"/>
  <c r="CY104" i="1"/>
  <c r="DB103" i="1"/>
  <c r="DA103" i="1"/>
  <c r="CZ103" i="1"/>
  <c r="CY103" i="1"/>
  <c r="DB102" i="1"/>
  <c r="DA102" i="1"/>
  <c r="CZ102" i="1"/>
  <c r="CY102" i="1"/>
  <c r="DB101" i="1"/>
  <c r="DA101" i="1"/>
  <c r="CZ101" i="1"/>
  <c r="CY101" i="1"/>
  <c r="DB100" i="1"/>
  <c r="DA100" i="1"/>
  <c r="CZ100" i="1"/>
  <c r="CY100" i="1"/>
  <c r="DB99" i="1"/>
  <c r="DA99" i="1"/>
  <c r="CZ99" i="1"/>
  <c r="CY99" i="1"/>
  <c r="DB98" i="1"/>
  <c r="DA98" i="1"/>
  <c r="CZ98" i="1"/>
  <c r="CY98" i="1"/>
  <c r="DB97" i="1"/>
  <c r="DA97" i="1"/>
  <c r="CZ97" i="1"/>
  <c r="CY97" i="1"/>
  <c r="DB96" i="1"/>
  <c r="DA96" i="1"/>
  <c r="CZ96" i="1"/>
  <c r="CY96" i="1"/>
  <c r="DB95" i="1"/>
  <c r="DA95" i="1"/>
  <c r="CZ95" i="1"/>
  <c r="CY95" i="1"/>
  <c r="DB94" i="1"/>
  <c r="DA94" i="1"/>
  <c r="CZ94" i="1"/>
  <c r="CY94" i="1"/>
  <c r="DB93" i="1"/>
  <c r="DA93" i="1"/>
  <c r="CZ93" i="1"/>
  <c r="CY93" i="1"/>
  <c r="DB92" i="1"/>
  <c r="DA92" i="1"/>
  <c r="CZ92" i="1"/>
  <c r="CY92" i="1"/>
  <c r="DB91" i="1"/>
  <c r="DA91" i="1"/>
  <c r="CZ91" i="1"/>
  <c r="CY91" i="1"/>
  <c r="CR91" i="1"/>
  <c r="CS91" i="1"/>
  <c r="CT91" i="1"/>
  <c r="CR92" i="1"/>
  <c r="CS92" i="1"/>
  <c r="CT92" i="1"/>
  <c r="CR93" i="1"/>
  <c r="CS93" i="1"/>
  <c r="CT93" i="1"/>
  <c r="CR94" i="1"/>
  <c r="CS94" i="1"/>
  <c r="CT94" i="1"/>
  <c r="CR95" i="1"/>
  <c r="CS95" i="1"/>
  <c r="CT95" i="1"/>
  <c r="CR96" i="1"/>
  <c r="CS96" i="1"/>
  <c r="CT96" i="1"/>
  <c r="CR97" i="1"/>
  <c r="CS97" i="1"/>
  <c r="CT97" i="1"/>
  <c r="CR98" i="1"/>
  <c r="CS98" i="1"/>
  <c r="CT98" i="1"/>
  <c r="CR99" i="1"/>
  <c r="CS99" i="1"/>
  <c r="CT99" i="1"/>
  <c r="CR100" i="1"/>
  <c r="CS100" i="1"/>
  <c r="CT100" i="1"/>
  <c r="CR101" i="1"/>
  <c r="CS101" i="1"/>
  <c r="CT101" i="1"/>
  <c r="CR102" i="1"/>
  <c r="CS102" i="1"/>
  <c r="CT102" i="1"/>
  <c r="CR103" i="1"/>
  <c r="CS103" i="1"/>
  <c r="CT103" i="1"/>
  <c r="CR104" i="1"/>
  <c r="CS104" i="1"/>
  <c r="CT104" i="1"/>
  <c r="CR105" i="1"/>
  <c r="CS105" i="1"/>
  <c r="CT105" i="1"/>
  <c r="CR106" i="1"/>
  <c r="CS106" i="1"/>
  <c r="CT106" i="1"/>
  <c r="CR107" i="1"/>
  <c r="CS107" i="1"/>
  <c r="CT107" i="1"/>
  <c r="CR108" i="1"/>
  <c r="CS108" i="1"/>
  <c r="CT108" i="1"/>
  <c r="CQ108" i="1"/>
  <c r="CQ107" i="1"/>
  <c r="CQ106" i="1"/>
  <c r="CQ105" i="1"/>
  <c r="CQ104" i="1"/>
  <c r="CQ103" i="1"/>
  <c r="CQ102" i="1"/>
  <c r="CQ101" i="1"/>
  <c r="CQ100" i="1"/>
  <c r="CQ99" i="1"/>
  <c r="CQ98" i="1"/>
  <c r="CQ97" i="1"/>
  <c r="CQ96" i="1"/>
  <c r="CQ95" i="1"/>
  <c r="CQ94" i="1"/>
  <c r="CQ93" i="1"/>
  <c r="CQ92" i="1"/>
  <c r="CQ91" i="1"/>
  <c r="BK92" i="1" l="1"/>
  <c r="G96" i="1" l="1"/>
  <c r="G95" i="1"/>
  <c r="G94" i="1"/>
  <c r="G93" i="1"/>
  <c r="G92" i="1"/>
  <c r="G91" i="1"/>
  <c r="C103" i="1" l="1"/>
  <c r="D103" i="1"/>
  <c r="E103" i="1"/>
  <c r="F103" i="1"/>
  <c r="C104" i="1"/>
  <c r="D104" i="1"/>
  <c r="E104" i="1"/>
  <c r="F104" i="1"/>
  <c r="C105" i="1"/>
  <c r="D105" i="1"/>
  <c r="E105" i="1"/>
  <c r="F105" i="1"/>
  <c r="C106" i="1"/>
  <c r="D106" i="1"/>
  <c r="E106" i="1"/>
  <c r="F106" i="1"/>
  <c r="C107" i="1"/>
  <c r="D107" i="1"/>
  <c r="E107" i="1"/>
  <c r="F107" i="1"/>
  <c r="C108" i="1"/>
  <c r="D108" i="1"/>
  <c r="E108" i="1"/>
  <c r="F108" i="1"/>
  <c r="G3" i="1"/>
  <c r="Q91" i="1"/>
  <c r="Q92" i="1"/>
  <c r="Q93" i="1"/>
  <c r="Q94" i="1"/>
  <c r="Q95" i="1"/>
  <c r="Q96" i="1"/>
  <c r="Q97" i="1"/>
  <c r="Q98" i="1"/>
  <c r="Q99" i="1"/>
  <c r="CF115" i="1" l="1"/>
  <c r="CE115" i="1"/>
  <c r="CF114" i="1"/>
  <c r="CE114" i="1"/>
  <c r="Z115" i="1"/>
  <c r="Y115" i="1"/>
  <c r="X115" i="1"/>
  <c r="W115" i="1"/>
  <c r="Z114" i="1"/>
  <c r="Y114" i="1"/>
  <c r="X114" i="1"/>
  <c r="W114" i="1"/>
  <c r="F115" i="1"/>
  <c r="E115" i="1"/>
  <c r="D115" i="1"/>
  <c r="C115" i="1"/>
  <c r="F114" i="1"/>
  <c r="E114" i="1"/>
  <c r="D114" i="1"/>
  <c r="C114" i="1"/>
  <c r="H81" i="2" l="1"/>
  <c r="B83" i="2" l="1"/>
  <c r="F84" i="2"/>
  <c r="I81" i="2" l="1"/>
  <c r="J81" i="2"/>
  <c r="K81" i="2"/>
  <c r="L81" i="2"/>
  <c r="C81" i="2"/>
  <c r="D81" i="2"/>
  <c r="E81" i="2"/>
  <c r="F81" i="2"/>
  <c r="B81" i="2"/>
  <c r="AM92" i="1" l="1"/>
  <c r="AN92" i="1"/>
  <c r="AO92" i="1"/>
  <c r="AL92" i="1"/>
  <c r="EN92" i="1" l="1"/>
  <c r="EM92" i="1"/>
  <c r="EJ92" i="1"/>
  <c r="P92" i="1"/>
  <c r="O92" i="1"/>
  <c r="N92" i="1"/>
  <c r="Q3" i="1"/>
  <c r="BN108" i="1" l="1"/>
  <c r="BN105" i="1"/>
  <c r="BN104" i="1"/>
  <c r="BN103" i="1"/>
  <c r="BN100" i="1"/>
  <c r="BN99" i="1"/>
  <c r="BN98" i="1"/>
  <c r="BN97" i="1"/>
  <c r="BN96" i="1"/>
  <c r="BN95" i="1"/>
  <c r="BN94" i="1"/>
  <c r="BN93" i="1"/>
  <c r="BK91" i="1" l="1"/>
  <c r="BN92" i="1"/>
  <c r="BM92" i="1"/>
  <c r="BL92" i="1"/>
  <c r="EE3" i="1" l="1"/>
  <c r="ED3" i="1"/>
  <c r="EC3" i="1"/>
  <c r="EB3" i="1"/>
  <c r="I125" i="2" l="1"/>
  <c r="J125" i="2"/>
  <c r="K125" i="2"/>
  <c r="H125" i="2"/>
  <c r="C125" i="2"/>
  <c r="D125" i="2"/>
  <c r="E125" i="2"/>
  <c r="B125" i="2"/>
  <c r="I115" i="2"/>
  <c r="J115" i="2"/>
  <c r="K115" i="2"/>
  <c r="H115" i="2"/>
  <c r="BY115" i="1"/>
  <c r="BX115" i="1"/>
  <c r="BW115" i="1"/>
  <c r="BY114" i="1"/>
  <c r="BX114" i="1"/>
  <c r="BW114" i="1"/>
  <c r="C115" i="2"/>
  <c r="D115" i="2"/>
  <c r="E115" i="2"/>
  <c r="B115" i="2"/>
  <c r="BU115" i="1"/>
  <c r="BT115" i="1"/>
  <c r="BS115" i="1"/>
  <c r="BU114" i="1"/>
  <c r="BT114" i="1"/>
  <c r="BS114" i="1"/>
  <c r="I104" i="2"/>
  <c r="J104" i="2"/>
  <c r="K104" i="2"/>
  <c r="H104" i="2"/>
  <c r="BQ115" i="1"/>
  <c r="BP115" i="1"/>
  <c r="BO115" i="1"/>
  <c r="BQ114" i="1"/>
  <c r="BP114" i="1"/>
  <c r="BO114" i="1"/>
  <c r="C104" i="2"/>
  <c r="D104" i="2"/>
  <c r="E104" i="2"/>
  <c r="B104" i="2"/>
  <c r="BM108" i="1"/>
  <c r="BM114" i="1" s="1"/>
  <c r="BL108" i="1"/>
  <c r="BL114" i="1" s="1"/>
  <c r="BK108" i="1"/>
  <c r="BK114" i="1" s="1"/>
  <c r="BM107" i="1"/>
  <c r="BL107" i="1"/>
  <c r="BK107" i="1"/>
  <c r="BM106" i="1"/>
  <c r="BL106" i="1"/>
  <c r="BK106" i="1"/>
  <c r="BM105" i="1"/>
  <c r="BL105" i="1"/>
  <c r="BK105" i="1"/>
  <c r="BM104" i="1"/>
  <c r="BL104" i="1"/>
  <c r="BK104" i="1"/>
  <c r="BM103" i="1"/>
  <c r="BM115" i="1" s="1"/>
  <c r="BL103" i="1"/>
  <c r="BL115" i="1" s="1"/>
  <c r="BK103" i="1"/>
  <c r="BK115" i="1" s="1"/>
  <c r="BM102" i="1"/>
  <c r="BL102" i="1"/>
  <c r="BK102" i="1"/>
  <c r="BM101" i="1"/>
  <c r="BL101" i="1"/>
  <c r="BK101" i="1"/>
  <c r="BM100" i="1"/>
  <c r="BL100" i="1"/>
  <c r="BK100" i="1"/>
  <c r="BM99" i="1"/>
  <c r="BL99" i="1"/>
  <c r="BK99" i="1"/>
  <c r="BM98" i="1"/>
  <c r="BL98" i="1"/>
  <c r="BK98" i="1"/>
  <c r="BM97" i="1"/>
  <c r="BL97" i="1"/>
  <c r="BK97" i="1"/>
  <c r="BM96" i="1"/>
  <c r="BL96" i="1"/>
  <c r="BK96" i="1"/>
  <c r="BM95" i="1"/>
  <c r="BL95" i="1"/>
  <c r="BK95" i="1"/>
  <c r="BM94" i="1"/>
  <c r="BL94" i="1"/>
  <c r="BK94" i="1"/>
  <c r="BM93" i="1"/>
  <c r="BL93" i="1"/>
  <c r="BK93" i="1"/>
  <c r="BM91" i="1"/>
  <c r="BL91" i="1"/>
  <c r="I91" i="2"/>
  <c r="J91" i="2"/>
  <c r="K91" i="2"/>
  <c r="L91" i="2"/>
  <c r="H91" i="2"/>
  <c r="C91" i="2"/>
  <c r="D91" i="2"/>
  <c r="E91" i="2"/>
  <c r="F91" i="2"/>
  <c r="B91" i="2"/>
  <c r="I71" i="2"/>
  <c r="J71" i="2"/>
  <c r="K71" i="2"/>
  <c r="L71" i="2"/>
  <c r="H71" i="2"/>
  <c r="AO108" i="1"/>
  <c r="AO114" i="1" s="1"/>
  <c r="AN108" i="1"/>
  <c r="AN114" i="1" s="1"/>
  <c r="AM108" i="1"/>
  <c r="AM114" i="1" s="1"/>
  <c r="AL108" i="1"/>
  <c r="AL114" i="1" s="1"/>
  <c r="AO107" i="1"/>
  <c r="AN107" i="1"/>
  <c r="AM107" i="1"/>
  <c r="AL107" i="1"/>
  <c r="AO106" i="1"/>
  <c r="AN106" i="1"/>
  <c r="AM106" i="1"/>
  <c r="AL106" i="1"/>
  <c r="AO105" i="1"/>
  <c r="AN105" i="1"/>
  <c r="AM105" i="1"/>
  <c r="AL105" i="1"/>
  <c r="AO104" i="1"/>
  <c r="AN104" i="1"/>
  <c r="AM104" i="1"/>
  <c r="AL104" i="1"/>
  <c r="AO103" i="1"/>
  <c r="AO115" i="1" s="1"/>
  <c r="AN103" i="1"/>
  <c r="AN115" i="1" s="1"/>
  <c r="AM103" i="1"/>
  <c r="AM115" i="1" s="1"/>
  <c r="AL103" i="1"/>
  <c r="AL115" i="1" s="1"/>
  <c r="AO102" i="1"/>
  <c r="AN102" i="1"/>
  <c r="AM102" i="1"/>
  <c r="AL102" i="1"/>
  <c r="AO101" i="1"/>
  <c r="AN101" i="1"/>
  <c r="AM101" i="1"/>
  <c r="AL101" i="1"/>
  <c r="AO100" i="1"/>
  <c r="AN100" i="1"/>
  <c r="AM100" i="1"/>
  <c r="AL100" i="1"/>
  <c r="AO99" i="1"/>
  <c r="AN99" i="1"/>
  <c r="AM99" i="1"/>
  <c r="AL99" i="1"/>
  <c r="AO98" i="1"/>
  <c r="AN98" i="1"/>
  <c r="AM98" i="1"/>
  <c r="AL98" i="1"/>
  <c r="AO97" i="1"/>
  <c r="AN97" i="1"/>
  <c r="AM97" i="1"/>
  <c r="AL97" i="1"/>
  <c r="AO96" i="1"/>
  <c r="AN96" i="1"/>
  <c r="AM96" i="1"/>
  <c r="AL96" i="1"/>
  <c r="AO95" i="1"/>
  <c r="AN95" i="1"/>
  <c r="AM95" i="1"/>
  <c r="AL95" i="1"/>
  <c r="AO94" i="1"/>
  <c r="AN94" i="1"/>
  <c r="AM94" i="1"/>
  <c r="AL94" i="1"/>
  <c r="AO93" i="1"/>
  <c r="AN93" i="1"/>
  <c r="AM93" i="1"/>
  <c r="AL93" i="1"/>
  <c r="AO91" i="1"/>
  <c r="AN91" i="1"/>
  <c r="AM91" i="1"/>
  <c r="AL91" i="1"/>
  <c r="C71" i="2"/>
  <c r="D71" i="2"/>
  <c r="E71" i="2"/>
  <c r="F71" i="2"/>
  <c r="B71" i="2"/>
  <c r="AJ115" i="1"/>
  <c r="AI115" i="1"/>
  <c r="AH115" i="1"/>
  <c r="AG115" i="1"/>
  <c r="AJ114" i="1"/>
  <c r="AI114" i="1"/>
  <c r="AH114" i="1"/>
  <c r="AG114" i="1"/>
  <c r="I58" i="2"/>
  <c r="J58" i="2"/>
  <c r="K58" i="2"/>
  <c r="L58" i="2"/>
  <c r="H58" i="2"/>
  <c r="C58" i="2"/>
  <c r="D58" i="2"/>
  <c r="E58" i="2"/>
  <c r="F58" i="2"/>
  <c r="B58" i="2"/>
  <c r="AE115" i="1"/>
  <c r="AD115" i="1"/>
  <c r="AC115" i="1"/>
  <c r="AB115" i="1"/>
  <c r="AE114" i="1"/>
  <c r="AD114" i="1"/>
  <c r="AC114" i="1"/>
  <c r="AB114" i="1"/>
  <c r="I47" i="2"/>
  <c r="J47" i="2"/>
  <c r="K47" i="2"/>
  <c r="L47" i="2"/>
  <c r="H47" i="2"/>
  <c r="U115" i="1"/>
  <c r="T115" i="1"/>
  <c r="S115" i="1"/>
  <c r="R115" i="1"/>
  <c r="U114" i="1"/>
  <c r="T114" i="1"/>
  <c r="S114" i="1"/>
  <c r="R114" i="1"/>
  <c r="C47" i="2"/>
  <c r="D47" i="2"/>
  <c r="E47" i="2"/>
  <c r="F47" i="2"/>
  <c r="B47" i="2"/>
  <c r="P108" i="1"/>
  <c r="P114" i="1" s="1"/>
  <c r="O108" i="1"/>
  <c r="O114" i="1" s="1"/>
  <c r="N108" i="1"/>
  <c r="N114" i="1" s="1"/>
  <c r="M108" i="1"/>
  <c r="M114" i="1" s="1"/>
  <c r="P107" i="1"/>
  <c r="O107" i="1"/>
  <c r="N107" i="1"/>
  <c r="M107" i="1"/>
  <c r="P106" i="1"/>
  <c r="O106" i="1"/>
  <c r="N106" i="1"/>
  <c r="M106" i="1"/>
  <c r="P105" i="1"/>
  <c r="O105" i="1"/>
  <c r="N105" i="1"/>
  <c r="M105" i="1"/>
  <c r="P104" i="1"/>
  <c r="O104" i="1"/>
  <c r="N104" i="1"/>
  <c r="M104" i="1"/>
  <c r="P103" i="1"/>
  <c r="P115" i="1" s="1"/>
  <c r="O103" i="1"/>
  <c r="O115" i="1" s="1"/>
  <c r="N103" i="1"/>
  <c r="N115" i="1" s="1"/>
  <c r="M103" i="1"/>
  <c r="M115" i="1" s="1"/>
  <c r="P102" i="1"/>
  <c r="O102" i="1"/>
  <c r="N102" i="1"/>
  <c r="M102" i="1"/>
  <c r="P101" i="1"/>
  <c r="O101" i="1"/>
  <c r="N101" i="1"/>
  <c r="M101" i="1"/>
  <c r="P100" i="1"/>
  <c r="O100" i="1"/>
  <c r="N100" i="1"/>
  <c r="M100" i="1"/>
  <c r="P99" i="1"/>
  <c r="O99" i="1"/>
  <c r="N99" i="1"/>
  <c r="M99" i="1"/>
  <c r="P98" i="1"/>
  <c r="O98" i="1"/>
  <c r="N98" i="1"/>
  <c r="M98" i="1"/>
  <c r="P97" i="1"/>
  <c r="O97" i="1"/>
  <c r="N97" i="1"/>
  <c r="M97" i="1"/>
  <c r="P96" i="1"/>
  <c r="O96" i="1"/>
  <c r="N96" i="1"/>
  <c r="M96" i="1"/>
  <c r="P95" i="1"/>
  <c r="O95" i="1"/>
  <c r="N95" i="1"/>
  <c r="M95" i="1"/>
  <c r="P94" i="1"/>
  <c r="O94" i="1"/>
  <c r="P93" i="1"/>
  <c r="O93" i="1"/>
  <c r="N93" i="1"/>
  <c r="P91" i="1"/>
  <c r="O91" i="1"/>
  <c r="N91" i="1"/>
  <c r="M91" i="1"/>
  <c r="C36" i="2"/>
  <c r="D36" i="2"/>
  <c r="E36" i="2"/>
  <c r="F36" i="2"/>
  <c r="B36" i="2"/>
  <c r="DW109" i="1" l="1"/>
  <c r="EN108" i="1" l="1"/>
  <c r="EM108" i="1"/>
  <c r="EL108" i="1"/>
  <c r="EJ108" i="1"/>
  <c r="EN107" i="1"/>
  <c r="EM107" i="1"/>
  <c r="EL107" i="1"/>
  <c r="EJ107" i="1"/>
  <c r="EN106" i="1"/>
  <c r="EM106" i="1"/>
  <c r="EL106" i="1"/>
  <c r="EJ106" i="1"/>
  <c r="EN105" i="1"/>
  <c r="EM105" i="1"/>
  <c r="EL105" i="1"/>
  <c r="EJ105" i="1"/>
  <c r="EN104" i="1"/>
  <c r="EM104" i="1"/>
  <c r="EL104" i="1"/>
  <c r="EJ104" i="1"/>
  <c r="EN103" i="1"/>
  <c r="EM103" i="1"/>
  <c r="EJ103" i="1"/>
  <c r="EN102" i="1"/>
  <c r="EM102" i="1"/>
  <c r="EJ102" i="1"/>
  <c r="EN101" i="1"/>
  <c r="EM101" i="1"/>
  <c r="EJ101" i="1"/>
  <c r="EN100" i="1"/>
  <c r="EM100" i="1"/>
  <c r="EJ100" i="1"/>
  <c r="EN99" i="1"/>
  <c r="EM99" i="1"/>
  <c r="EJ99" i="1"/>
  <c r="EN98" i="1"/>
  <c r="EM98" i="1"/>
  <c r="EJ98" i="1"/>
  <c r="EN97" i="1"/>
  <c r="EM97" i="1"/>
  <c r="EJ97" i="1"/>
  <c r="EN96" i="1"/>
  <c r="EM96" i="1"/>
  <c r="EJ96" i="1"/>
  <c r="EN95" i="1"/>
  <c r="EM95" i="1"/>
  <c r="EJ95" i="1"/>
  <c r="EN94" i="1"/>
  <c r="EM94" i="1"/>
  <c r="EJ94" i="1"/>
  <c r="EN93" i="1"/>
  <c r="EM93" i="1"/>
  <c r="EJ93" i="1"/>
  <c r="EN91" i="1"/>
  <c r="Q100" i="1" l="1"/>
  <c r="Q101" i="1"/>
  <c r="Q102" i="1"/>
  <c r="Q103" i="1"/>
  <c r="Q104" i="1"/>
  <c r="Q105" i="1"/>
  <c r="Q106" i="1"/>
  <c r="Q107" i="1"/>
  <c r="Q108" i="1"/>
  <c r="F59" i="2" l="1"/>
  <c r="E59" i="2"/>
  <c r="D59" i="2"/>
  <c r="C59" i="2"/>
  <c r="B59" i="2"/>
  <c r="F37" i="2" l="1"/>
  <c r="I191" i="2" l="1"/>
  <c r="I190" i="2"/>
  <c r="I189" i="2"/>
  <c r="I188" i="2"/>
  <c r="I187" i="2"/>
  <c r="I186" i="2"/>
  <c r="I185" i="2"/>
  <c r="AI321" i="2"/>
  <c r="AI320" i="2"/>
  <c r="AI319" i="2"/>
  <c r="AI318" i="2"/>
  <c r="AI317" i="2"/>
  <c r="AI316" i="2"/>
  <c r="AI315" i="2"/>
  <c r="AH321" i="2"/>
  <c r="AH320" i="2"/>
  <c r="AH319" i="2"/>
  <c r="AH318" i="2"/>
  <c r="AH317" i="2"/>
  <c r="AH316" i="2"/>
  <c r="AH315" i="2"/>
  <c r="AG321" i="2"/>
  <c r="AG320" i="2"/>
  <c r="AG319" i="2"/>
  <c r="AG318" i="2"/>
  <c r="AG317" i="2"/>
  <c r="AG316" i="2"/>
  <c r="AF321" i="2"/>
  <c r="AF320" i="2"/>
  <c r="AF319" i="2"/>
  <c r="AF318" i="2"/>
  <c r="AF317" i="2"/>
  <c r="AF316" i="2"/>
  <c r="AE321" i="2"/>
  <c r="AE320" i="2"/>
  <c r="AE319" i="2"/>
  <c r="AE318" i="2"/>
  <c r="AE317" i="2"/>
  <c r="AE316" i="2"/>
  <c r="AE315" i="2"/>
  <c r="AF315" i="2"/>
  <c r="AG315" i="2"/>
  <c r="AD321" i="2"/>
  <c r="AD320" i="2"/>
  <c r="AD319" i="2"/>
  <c r="AD318" i="2"/>
  <c r="AD317" i="2"/>
  <c r="AD316" i="2"/>
  <c r="AD315" i="2"/>
  <c r="AV321" i="2"/>
  <c r="AV320" i="2"/>
  <c r="AV319" i="2"/>
  <c r="AV318" i="2"/>
  <c r="AV317" i="2"/>
  <c r="AV316" i="2"/>
  <c r="AV315" i="2"/>
  <c r="Y321" i="2"/>
  <c r="Y320" i="2"/>
  <c r="Y319" i="2"/>
  <c r="Y318" i="2"/>
  <c r="Y317" i="2"/>
  <c r="Y316" i="2"/>
  <c r="Y315" i="2"/>
  <c r="T321" i="2"/>
  <c r="T320" i="2"/>
  <c r="T319" i="2"/>
  <c r="T318" i="2"/>
  <c r="T317" i="2"/>
  <c r="T316" i="2"/>
  <c r="T315" i="2"/>
  <c r="J273" i="2"/>
  <c r="J272" i="2"/>
  <c r="J271" i="2"/>
  <c r="J270" i="2"/>
  <c r="J269" i="2"/>
  <c r="J268" i="2"/>
  <c r="J267" i="2"/>
  <c r="C273" i="2"/>
  <c r="C272" i="2"/>
  <c r="C271" i="2"/>
  <c r="C270" i="2"/>
  <c r="C269" i="2"/>
  <c r="C268" i="2"/>
  <c r="C267" i="2"/>
  <c r="H264" i="2"/>
  <c r="H263" i="2"/>
  <c r="H262" i="2"/>
  <c r="H261" i="2"/>
  <c r="H260" i="2"/>
  <c r="H259" i="2"/>
  <c r="H258" i="2"/>
  <c r="K255" i="2"/>
  <c r="K254" i="2"/>
  <c r="K253" i="2"/>
  <c r="K252" i="2"/>
  <c r="K251" i="2"/>
  <c r="K250" i="2"/>
  <c r="K249" i="2"/>
  <c r="D255" i="2"/>
  <c r="D254" i="2"/>
  <c r="D253" i="2"/>
  <c r="D252" i="2"/>
  <c r="D251" i="2"/>
  <c r="D250" i="2"/>
  <c r="D249" i="2"/>
  <c r="I246" i="2"/>
  <c r="I245" i="2"/>
  <c r="I244" i="2"/>
  <c r="I243" i="2"/>
  <c r="I242" i="2"/>
  <c r="I241" i="2"/>
  <c r="I240" i="2"/>
  <c r="B246" i="2"/>
  <c r="B245" i="2"/>
  <c r="B244" i="2"/>
  <c r="B243" i="2"/>
  <c r="B242" i="2"/>
  <c r="B241" i="2"/>
  <c r="B240" i="2"/>
  <c r="E235" i="2"/>
  <c r="E234" i="2"/>
  <c r="E233" i="2"/>
  <c r="E232" i="2"/>
  <c r="E231" i="2"/>
  <c r="E230" i="2"/>
  <c r="E229" i="2"/>
  <c r="J225" i="2"/>
  <c r="J224" i="2"/>
  <c r="J223" i="2"/>
  <c r="J222" i="2"/>
  <c r="J221" i="2"/>
  <c r="J220" i="2"/>
  <c r="J219" i="2"/>
  <c r="C225" i="2"/>
  <c r="C224" i="2"/>
  <c r="C223" i="2"/>
  <c r="C222" i="2"/>
  <c r="C221" i="2"/>
  <c r="C220" i="2"/>
  <c r="C219" i="2"/>
  <c r="I214" i="2"/>
  <c r="I213" i="2"/>
  <c r="I212" i="2"/>
  <c r="I211" i="2"/>
  <c r="I210" i="2"/>
  <c r="I209" i="2"/>
  <c r="I208" i="2"/>
  <c r="H214" i="2"/>
  <c r="H213" i="2"/>
  <c r="H212" i="2"/>
  <c r="H211" i="2"/>
  <c r="H210" i="2"/>
  <c r="H209" i="2"/>
  <c r="H208" i="2"/>
  <c r="J202" i="2" l="1"/>
  <c r="J201" i="2"/>
  <c r="J200" i="2"/>
  <c r="J199" i="2"/>
  <c r="J198" i="2"/>
  <c r="J197" i="2"/>
  <c r="J196" i="2"/>
  <c r="D202" i="2"/>
  <c r="D201" i="2"/>
  <c r="D200" i="2"/>
  <c r="D199" i="2"/>
  <c r="D198" i="2"/>
  <c r="D197" i="2"/>
  <c r="D196" i="2"/>
  <c r="B191" i="2"/>
  <c r="B190" i="2"/>
  <c r="B189" i="2"/>
  <c r="B188" i="2"/>
  <c r="B187" i="2"/>
  <c r="B186" i="2"/>
  <c r="B185" i="2"/>
  <c r="E180" i="2"/>
  <c r="E179" i="2"/>
  <c r="E178" i="2"/>
  <c r="E177" i="2"/>
  <c r="E176" i="2"/>
  <c r="E175" i="2"/>
  <c r="E174" i="2"/>
  <c r="J168" i="2"/>
  <c r="J167" i="2"/>
  <c r="J166" i="2"/>
  <c r="J165" i="2"/>
  <c r="J164" i="2"/>
  <c r="J163" i="2"/>
  <c r="J162" i="2"/>
  <c r="C168" i="2"/>
  <c r="C167" i="2"/>
  <c r="C166" i="2"/>
  <c r="C165" i="2"/>
  <c r="C164" i="2"/>
  <c r="C163" i="2"/>
  <c r="C162" i="2"/>
  <c r="H157" i="2"/>
  <c r="H156" i="2"/>
  <c r="H155" i="2"/>
  <c r="H154" i="2"/>
  <c r="H153" i="2"/>
  <c r="H152" i="2"/>
  <c r="H151" i="2"/>
  <c r="K146" i="2"/>
  <c r="K145" i="2"/>
  <c r="K144" i="2"/>
  <c r="K143" i="2"/>
  <c r="K142" i="2"/>
  <c r="K141" i="2"/>
  <c r="K140" i="2"/>
  <c r="H88" i="2"/>
  <c r="H87" i="2"/>
  <c r="H86" i="2"/>
  <c r="H85" i="2"/>
  <c r="H84" i="2"/>
  <c r="H83" i="2"/>
  <c r="H82" i="2"/>
  <c r="B88" i="2"/>
  <c r="B87" i="2"/>
  <c r="B86" i="2"/>
  <c r="B85" i="2"/>
  <c r="B84" i="2"/>
  <c r="B82" i="2"/>
  <c r="H78" i="2"/>
  <c r="I78" i="2"/>
  <c r="J78" i="2"/>
  <c r="K78" i="2"/>
  <c r="L78" i="2"/>
  <c r="H77" i="2"/>
  <c r="I77" i="2"/>
  <c r="J77" i="2"/>
  <c r="K77" i="2"/>
  <c r="L77" i="2"/>
  <c r="H76" i="2"/>
  <c r="I76" i="2"/>
  <c r="J76" i="2"/>
  <c r="K76" i="2"/>
  <c r="L76" i="2"/>
  <c r="H75" i="2"/>
  <c r="I75" i="2"/>
  <c r="J75" i="2"/>
  <c r="K75" i="2"/>
  <c r="L75" i="2"/>
  <c r="L74" i="2"/>
  <c r="K74" i="2"/>
  <c r="J74" i="2"/>
  <c r="I74" i="2"/>
  <c r="H74" i="2"/>
  <c r="L73" i="2"/>
  <c r="K73" i="2"/>
  <c r="J73" i="2"/>
  <c r="I73" i="2"/>
  <c r="H73" i="2"/>
  <c r="I72" i="2"/>
  <c r="J72" i="2"/>
  <c r="K72" i="2"/>
  <c r="L72" i="2"/>
  <c r="H72" i="2"/>
  <c r="S320" i="2" l="1"/>
  <c r="F196" i="2" l="1"/>
  <c r="H196" i="2"/>
  <c r="I196" i="2"/>
  <c r="E196" i="2"/>
  <c r="E198" i="2"/>
  <c r="F198" i="2"/>
  <c r="H198" i="2"/>
  <c r="I198" i="2"/>
  <c r="E199" i="2"/>
  <c r="F199" i="2"/>
  <c r="H199" i="2"/>
  <c r="I199" i="2"/>
  <c r="E200" i="2"/>
  <c r="F200" i="2"/>
  <c r="H200" i="2"/>
  <c r="I200" i="2"/>
  <c r="E201" i="2"/>
  <c r="F201" i="2"/>
  <c r="H201" i="2"/>
  <c r="I201" i="2"/>
  <c r="E202" i="2"/>
  <c r="F202" i="2"/>
  <c r="H202" i="2"/>
  <c r="I202" i="2"/>
  <c r="I197" i="2"/>
  <c r="H197" i="2"/>
  <c r="F197" i="2"/>
  <c r="E197" i="2"/>
  <c r="AK315" i="2" l="1"/>
  <c r="AL315" i="2"/>
  <c r="AM315" i="2"/>
  <c r="AN315" i="2"/>
  <c r="AJ315" i="2"/>
  <c r="AA315" i="2"/>
  <c r="AB315" i="2"/>
  <c r="AC315" i="2"/>
  <c r="Z315" i="2"/>
  <c r="V315" i="2"/>
  <c r="W315" i="2"/>
  <c r="X315" i="2"/>
  <c r="U315" i="2"/>
  <c r="Q315" i="2"/>
  <c r="R315" i="2"/>
  <c r="S315" i="2"/>
  <c r="K267" i="2"/>
  <c r="E267" i="2"/>
  <c r="H267" i="2"/>
  <c r="I267" i="2"/>
  <c r="D267" i="2"/>
  <c r="J258" i="2"/>
  <c r="K258" i="2"/>
  <c r="B267" i="2"/>
  <c r="I258" i="2"/>
  <c r="C258" i="2"/>
  <c r="D258" i="2"/>
  <c r="E258" i="2"/>
  <c r="B258" i="2"/>
  <c r="H249" i="2"/>
  <c r="I249" i="2"/>
  <c r="J249" i="2"/>
  <c r="E249" i="2"/>
  <c r="K240" i="2"/>
  <c r="B249" i="2"/>
  <c r="C249" i="2"/>
  <c r="J240" i="2"/>
  <c r="D240" i="2"/>
  <c r="E240" i="2"/>
  <c r="H240" i="2"/>
  <c r="C240" i="2"/>
  <c r="I229" i="2"/>
  <c r="J229" i="2"/>
  <c r="K229" i="2"/>
  <c r="H229" i="2"/>
  <c r="B229" i="2"/>
  <c r="C229" i="2"/>
  <c r="D229" i="2"/>
  <c r="K219" i="2"/>
  <c r="I219" i="2"/>
  <c r="H219" i="2"/>
  <c r="E219" i="2"/>
  <c r="D219" i="2"/>
  <c r="K208" i="2"/>
  <c r="L208" i="2"/>
  <c r="B219" i="2"/>
  <c r="J208" i="2"/>
  <c r="AP315" i="2"/>
  <c r="AQ315" i="2"/>
  <c r="AO315" i="2"/>
  <c r="B208" i="2"/>
  <c r="C208" i="2"/>
  <c r="D208" i="2"/>
  <c r="E208" i="2"/>
  <c r="K196" i="2"/>
  <c r="K185" i="2"/>
  <c r="B196" i="2"/>
  <c r="C196" i="2"/>
  <c r="J185" i="2"/>
  <c r="D185" i="2"/>
  <c r="E185" i="2"/>
  <c r="H185" i="2"/>
  <c r="C185" i="2"/>
  <c r="I174" i="2"/>
  <c r="J174" i="2"/>
  <c r="K174" i="2"/>
  <c r="H174" i="2"/>
  <c r="B174" i="2"/>
  <c r="C174" i="2"/>
  <c r="D174" i="2"/>
  <c r="K162" i="2"/>
  <c r="E162" i="2"/>
  <c r="H162" i="2"/>
  <c r="I162" i="2"/>
  <c r="D162" i="2"/>
  <c r="J151" i="2"/>
  <c r="K151" i="2"/>
  <c r="B162" i="2"/>
  <c r="I151" i="2"/>
  <c r="AX315" i="2"/>
  <c r="AY315" i="2"/>
  <c r="AZ315" i="2"/>
  <c r="AW315" i="2"/>
  <c r="AS315" i="2"/>
  <c r="AT315" i="2"/>
  <c r="AU315" i="2"/>
  <c r="AR315" i="2"/>
  <c r="C151" i="2"/>
  <c r="D151" i="2"/>
  <c r="E151" i="2"/>
  <c r="B151" i="2"/>
  <c r="H140" i="2"/>
  <c r="I140" i="2"/>
  <c r="J140" i="2"/>
  <c r="E140" i="2"/>
  <c r="B140" i="2"/>
  <c r="C140" i="2"/>
  <c r="D140" i="2"/>
  <c r="K126" i="2"/>
  <c r="H126" i="2"/>
  <c r="I126" i="2"/>
  <c r="J126" i="2"/>
  <c r="E126" i="2"/>
  <c r="B126" i="2"/>
  <c r="C126" i="2"/>
  <c r="D126" i="2"/>
  <c r="K116" i="2"/>
  <c r="H116" i="2"/>
  <c r="I116" i="2"/>
  <c r="J116" i="2"/>
  <c r="E116" i="2"/>
  <c r="B116" i="2"/>
  <c r="C116" i="2"/>
  <c r="D116" i="2"/>
  <c r="K105" i="2"/>
  <c r="E105" i="2"/>
  <c r="H105" i="2"/>
  <c r="I105" i="2"/>
  <c r="J105" i="2"/>
  <c r="D105" i="2"/>
  <c r="K92" i="2"/>
  <c r="L92" i="2"/>
  <c r="B105" i="2"/>
  <c r="C105" i="2"/>
  <c r="J92" i="2"/>
  <c r="E92" i="2"/>
  <c r="F92" i="2"/>
  <c r="H92" i="2"/>
  <c r="I92" i="2"/>
  <c r="D92" i="2"/>
  <c r="K82" i="2"/>
  <c r="L82" i="2"/>
  <c r="B92" i="2"/>
  <c r="C92" i="2"/>
  <c r="J82" i="2"/>
  <c r="C72" i="2"/>
  <c r="D72" i="2"/>
  <c r="E72" i="2"/>
  <c r="F72" i="2"/>
  <c r="B72" i="2"/>
  <c r="I59" i="2"/>
  <c r="J59" i="2"/>
  <c r="K59" i="2"/>
  <c r="L59" i="2"/>
  <c r="H59" i="2"/>
  <c r="I48" i="2"/>
  <c r="J48" i="2"/>
  <c r="K48" i="2"/>
  <c r="L48" i="2"/>
  <c r="H48" i="2"/>
  <c r="E48" i="2"/>
  <c r="C48" i="2"/>
  <c r="D48" i="2"/>
  <c r="B48" i="2"/>
  <c r="L37" i="2"/>
  <c r="K37" i="2"/>
  <c r="J37" i="2"/>
  <c r="I37" i="2"/>
  <c r="H37" i="2"/>
  <c r="I82" i="2"/>
  <c r="F82" i="2"/>
  <c r="E82" i="2"/>
  <c r="D82" i="2"/>
  <c r="C82" i="2"/>
  <c r="B37" i="2"/>
  <c r="C37" i="2"/>
  <c r="D37" i="2"/>
  <c r="E37" i="2"/>
  <c r="GL115" i="1" l="1"/>
  <c r="GM115" i="1"/>
  <c r="GN115" i="1"/>
  <c r="GO115" i="1"/>
  <c r="GP115" i="1"/>
  <c r="GQ115" i="1"/>
  <c r="GR115" i="1"/>
  <c r="GS115" i="1"/>
  <c r="GT115" i="1"/>
  <c r="GU115" i="1"/>
  <c r="GV115" i="1"/>
  <c r="GW115" i="1"/>
  <c r="GX115" i="1"/>
  <c r="GY115" i="1"/>
  <c r="GZ115" i="1"/>
  <c r="HA115" i="1"/>
  <c r="HB115" i="1"/>
  <c r="HC115" i="1"/>
  <c r="HD115" i="1"/>
  <c r="HE115" i="1"/>
  <c r="HF115" i="1"/>
  <c r="HG115" i="1"/>
  <c r="HH115" i="1"/>
  <c r="HI115" i="1"/>
  <c r="HJ115" i="1"/>
  <c r="HK115" i="1"/>
  <c r="HL115" i="1"/>
  <c r="HM115" i="1"/>
  <c r="HN115" i="1"/>
  <c r="HO115" i="1"/>
  <c r="HP115" i="1"/>
  <c r="HQ115" i="1"/>
  <c r="HR115" i="1"/>
  <c r="HS115" i="1"/>
  <c r="HT115" i="1"/>
  <c r="HU115" i="1"/>
  <c r="HV115" i="1"/>
  <c r="AQ115" i="1"/>
  <c r="AR115" i="1"/>
  <c r="AS115" i="1"/>
  <c r="AT115" i="1"/>
  <c r="AU115" i="1"/>
  <c r="AV115" i="1"/>
  <c r="AW115" i="1"/>
  <c r="AX115" i="1"/>
  <c r="AY115" i="1"/>
  <c r="AZ115" i="1"/>
  <c r="K115" i="1"/>
  <c r="L115" i="1"/>
  <c r="V115" i="1"/>
  <c r="H115" i="1"/>
  <c r="I115" i="1"/>
  <c r="J115" i="1"/>
  <c r="H114" i="1" l="1"/>
  <c r="I114" i="1"/>
  <c r="J114" i="1"/>
  <c r="K114" i="1"/>
  <c r="L114" i="1"/>
  <c r="V114" i="1"/>
  <c r="AQ114" i="1"/>
  <c r="AR114" i="1"/>
  <c r="AS114" i="1"/>
  <c r="AT114" i="1"/>
  <c r="AU114" i="1"/>
  <c r="AV114" i="1"/>
  <c r="AW114" i="1"/>
  <c r="AX114" i="1"/>
  <c r="AY114" i="1"/>
  <c r="AZ114" i="1"/>
  <c r="GL114" i="1"/>
  <c r="GM114" i="1"/>
  <c r="GN114" i="1"/>
  <c r="GO114" i="1"/>
  <c r="GP114" i="1"/>
  <c r="GQ114" i="1"/>
  <c r="GR114" i="1"/>
  <c r="GS114" i="1"/>
  <c r="GT114" i="1"/>
  <c r="GU114" i="1"/>
  <c r="GV114" i="1"/>
  <c r="GW114" i="1"/>
  <c r="GX114" i="1"/>
  <c r="GY114" i="1"/>
  <c r="GZ114" i="1"/>
  <c r="HA114" i="1"/>
  <c r="HB114" i="1"/>
  <c r="HC114" i="1"/>
  <c r="HD114" i="1"/>
  <c r="HE114" i="1"/>
  <c r="HF114" i="1"/>
  <c r="HG114" i="1"/>
  <c r="HH114" i="1"/>
  <c r="HI114" i="1"/>
  <c r="HJ114" i="1"/>
  <c r="HK114" i="1"/>
  <c r="HL114" i="1"/>
  <c r="HM114" i="1"/>
  <c r="HN114" i="1"/>
  <c r="HO114" i="1"/>
  <c r="HP114" i="1"/>
  <c r="HQ114" i="1"/>
  <c r="HR114" i="1"/>
  <c r="HS114" i="1"/>
  <c r="HT114" i="1"/>
  <c r="HU114" i="1"/>
  <c r="HV114" i="1"/>
  <c r="HW114" i="1" l="1"/>
  <c r="S321" i="2"/>
  <c r="R321" i="2"/>
  <c r="Q321" i="2"/>
  <c r="K273" i="2"/>
  <c r="J255" i="2"/>
  <c r="I255" i="2"/>
  <c r="H255" i="2"/>
  <c r="E255" i="2"/>
  <c r="R320" i="2"/>
  <c r="Q320" i="2"/>
  <c r="K272" i="2"/>
  <c r="J254" i="2"/>
  <c r="I254" i="2"/>
  <c r="H254" i="2"/>
  <c r="E254" i="2"/>
  <c r="S319" i="2"/>
  <c r="R319" i="2"/>
  <c r="Q319" i="2"/>
  <c r="K271" i="2"/>
  <c r="J253" i="2"/>
  <c r="I253" i="2"/>
  <c r="H253" i="2"/>
  <c r="E253" i="2"/>
  <c r="S318" i="2"/>
  <c r="R318" i="2"/>
  <c r="Q318" i="2"/>
  <c r="K270" i="2"/>
  <c r="J252" i="2"/>
  <c r="I252" i="2"/>
  <c r="H252" i="2"/>
  <c r="E252" i="2"/>
  <c r="S317" i="2"/>
  <c r="R317" i="2"/>
  <c r="Q317" i="2"/>
  <c r="K269" i="2"/>
  <c r="J251" i="2"/>
  <c r="I251" i="2"/>
  <c r="H251" i="2"/>
  <c r="E251" i="2"/>
  <c r="S316" i="2"/>
  <c r="R316" i="2"/>
  <c r="Q316" i="2"/>
  <c r="K268" i="2"/>
  <c r="J250" i="2"/>
  <c r="I250" i="2"/>
  <c r="H250" i="2"/>
  <c r="E250" i="2"/>
  <c r="I273" i="2"/>
  <c r="H273" i="2"/>
  <c r="E273" i="2"/>
  <c r="D273" i="2"/>
  <c r="C255" i="2"/>
  <c r="B255" i="2"/>
  <c r="K246" i="2"/>
  <c r="J246" i="2"/>
  <c r="I272" i="2"/>
  <c r="H272" i="2"/>
  <c r="E272" i="2"/>
  <c r="D272" i="2"/>
  <c r="C254" i="2"/>
  <c r="B254" i="2"/>
  <c r="K245" i="2"/>
  <c r="J245" i="2"/>
  <c r="I271" i="2"/>
  <c r="H271" i="2"/>
  <c r="E271" i="2"/>
  <c r="D271" i="2"/>
  <c r="C253" i="2"/>
  <c r="B253" i="2"/>
  <c r="K244" i="2"/>
  <c r="J244" i="2"/>
  <c r="I270" i="2"/>
  <c r="H270" i="2"/>
  <c r="E270" i="2"/>
  <c r="D270" i="2"/>
  <c r="C252" i="2"/>
  <c r="B252" i="2"/>
  <c r="K243" i="2"/>
  <c r="J243" i="2"/>
  <c r="I269" i="2"/>
  <c r="H269" i="2"/>
  <c r="E269" i="2"/>
  <c r="D269" i="2"/>
  <c r="C251" i="2"/>
  <c r="B251" i="2"/>
  <c r="K242" i="2"/>
  <c r="J242" i="2"/>
  <c r="I268" i="2"/>
  <c r="H268" i="2"/>
  <c r="E268" i="2"/>
  <c r="D268" i="2"/>
  <c r="C250" i="2"/>
  <c r="B250" i="2"/>
  <c r="K241" i="2"/>
  <c r="J241" i="2"/>
  <c r="B273" i="2"/>
  <c r="K264" i="2"/>
  <c r="J264" i="2"/>
  <c r="I264" i="2"/>
  <c r="H246" i="2"/>
  <c r="E246" i="2"/>
  <c r="D246" i="2"/>
  <c r="C246" i="2"/>
  <c r="B272" i="2"/>
  <c r="K263" i="2"/>
  <c r="J263" i="2"/>
  <c r="I263" i="2"/>
  <c r="H245" i="2"/>
  <c r="E245" i="2"/>
  <c r="D245" i="2"/>
  <c r="C245" i="2"/>
  <c r="B271" i="2"/>
  <c r="K262" i="2"/>
  <c r="J262" i="2"/>
  <c r="I262" i="2"/>
  <c r="H244" i="2"/>
  <c r="E244" i="2"/>
  <c r="D244" i="2"/>
  <c r="C244" i="2"/>
  <c r="B270" i="2"/>
  <c r="K261" i="2"/>
  <c r="J261" i="2"/>
  <c r="I261" i="2"/>
  <c r="H243" i="2"/>
  <c r="E243" i="2"/>
  <c r="D243" i="2"/>
  <c r="C243" i="2"/>
  <c r="B269" i="2"/>
  <c r="K260" i="2"/>
  <c r="J260" i="2"/>
  <c r="I260" i="2"/>
  <c r="H242" i="2"/>
  <c r="E242" i="2"/>
  <c r="D242" i="2"/>
  <c r="C242" i="2"/>
  <c r="B268" i="2"/>
  <c r="K259" i="2"/>
  <c r="J259" i="2"/>
  <c r="I259" i="2"/>
  <c r="H241" i="2"/>
  <c r="E241" i="2"/>
  <c r="D241" i="2"/>
  <c r="C241" i="2"/>
  <c r="E264" i="2"/>
  <c r="D264" i="2"/>
  <c r="C264" i="2"/>
  <c r="B264" i="2"/>
  <c r="K235" i="2"/>
  <c r="J235" i="2"/>
  <c r="I235" i="2"/>
  <c r="H235" i="2"/>
  <c r="E263" i="2"/>
  <c r="D263" i="2"/>
  <c r="C263" i="2"/>
  <c r="B263" i="2"/>
  <c r="K234" i="2"/>
  <c r="J234" i="2"/>
  <c r="I234" i="2"/>
  <c r="H234" i="2"/>
  <c r="E262" i="2"/>
  <c r="D262" i="2"/>
  <c r="C262" i="2"/>
  <c r="B262" i="2"/>
  <c r="K233" i="2"/>
  <c r="J233" i="2"/>
  <c r="I233" i="2"/>
  <c r="H233" i="2"/>
  <c r="E261" i="2"/>
  <c r="D261" i="2"/>
  <c r="C261" i="2"/>
  <c r="B261" i="2"/>
  <c r="K232" i="2"/>
  <c r="J232" i="2"/>
  <c r="I232" i="2"/>
  <c r="H232" i="2"/>
  <c r="E260" i="2"/>
  <c r="D260" i="2"/>
  <c r="C260" i="2"/>
  <c r="B260" i="2"/>
  <c r="K231" i="2"/>
  <c r="J231" i="2"/>
  <c r="I231" i="2"/>
  <c r="H231" i="2"/>
  <c r="E259" i="2"/>
  <c r="D259" i="2"/>
  <c r="C259" i="2"/>
  <c r="B259" i="2"/>
  <c r="K230" i="2"/>
  <c r="J230" i="2"/>
  <c r="I230" i="2"/>
  <c r="H230" i="2"/>
  <c r="AC321" i="2"/>
  <c r="AB321" i="2"/>
  <c r="AA321" i="2"/>
  <c r="Z321" i="2"/>
  <c r="X321" i="2"/>
  <c r="W321" i="2"/>
  <c r="V321" i="2"/>
  <c r="U321" i="2"/>
  <c r="AC320" i="2"/>
  <c r="AB320" i="2"/>
  <c r="AA320" i="2"/>
  <c r="Z320" i="2"/>
  <c r="X320" i="2"/>
  <c r="W320" i="2"/>
  <c r="V320" i="2"/>
  <c r="U320" i="2"/>
  <c r="AC319" i="2"/>
  <c r="AB319" i="2"/>
  <c r="AA319" i="2"/>
  <c r="Z319" i="2"/>
  <c r="X319" i="2"/>
  <c r="W319" i="2"/>
  <c r="V319" i="2"/>
  <c r="U319" i="2"/>
  <c r="AC318" i="2"/>
  <c r="AB318" i="2"/>
  <c r="AA318" i="2"/>
  <c r="Z318" i="2"/>
  <c r="X318" i="2"/>
  <c r="W318" i="2"/>
  <c r="V318" i="2"/>
  <c r="U318" i="2"/>
  <c r="AC317" i="2"/>
  <c r="AB317" i="2"/>
  <c r="AA317" i="2"/>
  <c r="Z317" i="2"/>
  <c r="X317" i="2"/>
  <c r="W317" i="2"/>
  <c r="V317" i="2"/>
  <c r="U317" i="2"/>
  <c r="AC316" i="2"/>
  <c r="AB316" i="2"/>
  <c r="AA316" i="2"/>
  <c r="Z316" i="2"/>
  <c r="X316" i="2"/>
  <c r="W316" i="2"/>
  <c r="V316" i="2"/>
  <c r="U316" i="2"/>
  <c r="I225" i="2"/>
  <c r="H225" i="2"/>
  <c r="E225" i="2"/>
  <c r="D225" i="2"/>
  <c r="D235" i="2"/>
  <c r="C235" i="2"/>
  <c r="B235" i="2"/>
  <c r="K225" i="2"/>
  <c r="I224" i="2"/>
  <c r="H224" i="2"/>
  <c r="E224" i="2"/>
  <c r="D224" i="2"/>
  <c r="D234" i="2"/>
  <c r="C234" i="2"/>
  <c r="B234" i="2"/>
  <c r="K224" i="2"/>
  <c r="I223" i="2"/>
  <c r="H223" i="2"/>
  <c r="E223" i="2"/>
  <c r="D223" i="2"/>
  <c r="D233" i="2"/>
  <c r="C233" i="2"/>
  <c r="B233" i="2"/>
  <c r="K223" i="2"/>
  <c r="I222" i="2"/>
  <c r="H222" i="2"/>
  <c r="E222" i="2"/>
  <c r="D222" i="2"/>
  <c r="D232" i="2"/>
  <c r="C232" i="2"/>
  <c r="B232" i="2"/>
  <c r="K222" i="2"/>
  <c r="I221" i="2"/>
  <c r="H221" i="2"/>
  <c r="E221" i="2"/>
  <c r="D221" i="2"/>
  <c r="D231" i="2"/>
  <c r="C231" i="2"/>
  <c r="B231" i="2"/>
  <c r="K221" i="2"/>
  <c r="I220" i="2"/>
  <c r="H220" i="2"/>
  <c r="E220" i="2"/>
  <c r="D220" i="2"/>
  <c r="D230" i="2"/>
  <c r="C230" i="2"/>
  <c r="B230" i="2"/>
  <c r="K220" i="2"/>
  <c r="AN321" i="2"/>
  <c r="AM321" i="2"/>
  <c r="AL321" i="2"/>
  <c r="AK321" i="2"/>
  <c r="AJ321" i="2"/>
  <c r="B225" i="2"/>
  <c r="L214" i="2"/>
  <c r="K214" i="2"/>
  <c r="J214" i="2"/>
  <c r="AN320" i="2"/>
  <c r="AM320" i="2"/>
  <c r="AL320" i="2"/>
  <c r="AK320" i="2"/>
  <c r="AJ320" i="2"/>
  <c r="B224" i="2"/>
  <c r="L213" i="2"/>
  <c r="K213" i="2"/>
  <c r="J213" i="2"/>
  <c r="AN319" i="2"/>
  <c r="AM319" i="2"/>
  <c r="AL319" i="2"/>
  <c r="AK319" i="2"/>
  <c r="AJ319" i="2"/>
  <c r="B223" i="2"/>
  <c r="L212" i="2"/>
  <c r="K212" i="2"/>
  <c r="J212" i="2"/>
  <c r="AN318" i="2"/>
  <c r="AM318" i="2"/>
  <c r="AL318" i="2"/>
  <c r="AK318" i="2"/>
  <c r="AJ318" i="2"/>
  <c r="B222" i="2"/>
  <c r="L211" i="2"/>
  <c r="K211" i="2"/>
  <c r="J211" i="2"/>
  <c r="AN317" i="2"/>
  <c r="AM317" i="2"/>
  <c r="AL317" i="2"/>
  <c r="AK317" i="2"/>
  <c r="AJ317" i="2"/>
  <c r="B221" i="2"/>
  <c r="L210" i="2"/>
  <c r="K210" i="2"/>
  <c r="J210" i="2"/>
  <c r="AN316" i="2"/>
  <c r="AM316" i="2"/>
  <c r="AL316" i="2"/>
  <c r="AK316" i="2"/>
  <c r="AJ316" i="2"/>
  <c r="B220" i="2"/>
  <c r="L209" i="2"/>
  <c r="K209" i="2"/>
  <c r="J209" i="2"/>
  <c r="AQ321" i="2"/>
  <c r="AP321" i="2"/>
  <c r="AO321" i="2"/>
  <c r="E214" i="2"/>
  <c r="D214" i="2"/>
  <c r="C214" i="2"/>
  <c r="B214" i="2"/>
  <c r="K202" i="2"/>
  <c r="AQ320" i="2"/>
  <c r="AP320" i="2"/>
  <c r="AO320" i="2"/>
  <c r="E213" i="2"/>
  <c r="D213" i="2"/>
  <c r="C213" i="2"/>
  <c r="B213" i="2"/>
  <c r="K201" i="2"/>
  <c r="AQ319" i="2"/>
  <c r="AP319" i="2"/>
  <c r="AO319" i="2"/>
  <c r="E212" i="2"/>
  <c r="D212" i="2"/>
  <c r="C212" i="2"/>
  <c r="B212" i="2"/>
  <c r="K200" i="2"/>
  <c r="AQ318" i="2"/>
  <c r="AP318" i="2"/>
  <c r="AO318" i="2"/>
  <c r="E211" i="2"/>
  <c r="D211" i="2"/>
  <c r="C211" i="2"/>
  <c r="B211" i="2"/>
  <c r="K199" i="2"/>
  <c r="AQ317" i="2"/>
  <c r="AP317" i="2"/>
  <c r="AO317" i="2"/>
  <c r="E210" i="2"/>
  <c r="D210" i="2"/>
  <c r="C210" i="2"/>
  <c r="B210" i="2"/>
  <c r="K198" i="2"/>
  <c r="AQ316" i="2"/>
  <c r="AP316" i="2"/>
  <c r="AO316" i="2"/>
  <c r="E209" i="2"/>
  <c r="D209" i="2"/>
  <c r="C209" i="2"/>
  <c r="B209" i="2"/>
  <c r="K197" i="2"/>
  <c r="C202" i="2"/>
  <c r="B202" i="2"/>
  <c r="K191" i="2"/>
  <c r="J191" i="2"/>
  <c r="H191" i="2"/>
  <c r="E191" i="2"/>
  <c r="D191" i="2"/>
  <c r="C191" i="2"/>
  <c r="C201" i="2"/>
  <c r="B201" i="2"/>
  <c r="K190" i="2"/>
  <c r="J190" i="2"/>
  <c r="H190" i="2"/>
  <c r="E190" i="2"/>
  <c r="D190" i="2"/>
  <c r="C190" i="2"/>
  <c r="C200" i="2"/>
  <c r="B200" i="2"/>
  <c r="K189" i="2"/>
  <c r="J189" i="2"/>
  <c r="H189" i="2"/>
  <c r="E189" i="2"/>
  <c r="D189" i="2"/>
  <c r="C189" i="2"/>
  <c r="C199" i="2"/>
  <c r="B199" i="2"/>
  <c r="K188" i="2"/>
  <c r="J188" i="2"/>
  <c r="H188" i="2"/>
  <c r="E188" i="2"/>
  <c r="D188" i="2"/>
  <c r="C188" i="2"/>
  <c r="C198" i="2"/>
  <c r="B198" i="2"/>
  <c r="K187" i="2"/>
  <c r="J187" i="2"/>
  <c r="H187" i="2"/>
  <c r="E187" i="2"/>
  <c r="D187" i="2"/>
  <c r="C187" i="2"/>
  <c r="C197" i="2"/>
  <c r="B197" i="2"/>
  <c r="K186" i="2"/>
  <c r="J186" i="2"/>
  <c r="H186" i="2"/>
  <c r="E186" i="2"/>
  <c r="D186" i="2"/>
  <c r="C186" i="2"/>
  <c r="K180" i="2"/>
  <c r="J180" i="2"/>
  <c r="I180" i="2"/>
  <c r="H180" i="2"/>
  <c r="D180" i="2"/>
  <c r="C180" i="2"/>
  <c r="B180" i="2"/>
  <c r="K168" i="2"/>
  <c r="K179" i="2"/>
  <c r="J179" i="2"/>
  <c r="I179" i="2"/>
  <c r="H179" i="2"/>
  <c r="D179" i="2"/>
  <c r="C179" i="2"/>
  <c r="B179" i="2"/>
  <c r="K167" i="2"/>
  <c r="K178" i="2"/>
  <c r="J178" i="2"/>
  <c r="I178" i="2"/>
  <c r="H178" i="2"/>
  <c r="D178" i="2"/>
  <c r="C178" i="2"/>
  <c r="B178" i="2"/>
  <c r="K166" i="2"/>
  <c r="K177" i="2"/>
  <c r="J177" i="2"/>
  <c r="I177" i="2"/>
  <c r="H177" i="2"/>
  <c r="D177" i="2"/>
  <c r="C177" i="2"/>
  <c r="B177" i="2"/>
  <c r="K165" i="2"/>
  <c r="K176" i="2"/>
  <c r="J176" i="2"/>
  <c r="I176" i="2"/>
  <c r="H176" i="2"/>
  <c r="D176" i="2"/>
  <c r="C176" i="2"/>
  <c r="B176" i="2"/>
  <c r="K164" i="2"/>
  <c r="K175" i="2"/>
  <c r="J175" i="2"/>
  <c r="I175" i="2"/>
  <c r="H175" i="2"/>
  <c r="D175" i="2"/>
  <c r="C175" i="2"/>
  <c r="B175" i="2"/>
  <c r="K163" i="2"/>
  <c r="I168" i="2"/>
  <c r="H168" i="2"/>
  <c r="E168" i="2"/>
  <c r="D168" i="2"/>
  <c r="AZ321" i="2"/>
  <c r="AY321" i="2"/>
  <c r="AX321" i="2"/>
  <c r="AW321" i="2"/>
  <c r="I167" i="2"/>
  <c r="H167" i="2"/>
  <c r="E167" i="2"/>
  <c r="D167" i="2"/>
  <c r="AZ320" i="2"/>
  <c r="AY320" i="2"/>
  <c r="AX320" i="2"/>
  <c r="AW320" i="2"/>
  <c r="I166" i="2"/>
  <c r="H166" i="2"/>
  <c r="E166" i="2"/>
  <c r="D166" i="2"/>
  <c r="AZ319" i="2"/>
  <c r="AY319" i="2"/>
  <c r="AX319" i="2"/>
  <c r="AW319" i="2"/>
  <c r="I165" i="2"/>
  <c r="H165" i="2"/>
  <c r="E165" i="2"/>
  <c r="D165" i="2"/>
  <c r="AZ318" i="2"/>
  <c r="AY318" i="2"/>
  <c r="AX318" i="2"/>
  <c r="AW318" i="2"/>
  <c r="I164" i="2"/>
  <c r="H164" i="2"/>
  <c r="E164" i="2"/>
  <c r="D164" i="2"/>
  <c r="AZ317" i="2"/>
  <c r="AY317" i="2"/>
  <c r="AX317" i="2"/>
  <c r="AW317" i="2"/>
  <c r="I163" i="2"/>
  <c r="H163" i="2"/>
  <c r="E163" i="2"/>
  <c r="D163" i="2"/>
  <c r="AZ316" i="2"/>
  <c r="AY316" i="2"/>
  <c r="AX316" i="2"/>
  <c r="AW316" i="2"/>
  <c r="B168" i="2"/>
  <c r="K157" i="2"/>
  <c r="J157" i="2"/>
  <c r="I157" i="2"/>
  <c r="AU321" i="2"/>
  <c r="AT321" i="2"/>
  <c r="AS321" i="2"/>
  <c r="AR321" i="2"/>
  <c r="B167" i="2"/>
  <c r="K156" i="2"/>
  <c r="J156" i="2"/>
  <c r="I156" i="2"/>
  <c r="AU320" i="2"/>
  <c r="AT320" i="2"/>
  <c r="AS320" i="2"/>
  <c r="AR320" i="2"/>
  <c r="B166" i="2"/>
  <c r="K155" i="2"/>
  <c r="J155" i="2"/>
  <c r="I155" i="2"/>
  <c r="AU319" i="2"/>
  <c r="AT319" i="2"/>
  <c r="AS319" i="2"/>
  <c r="AR319" i="2"/>
  <c r="B165" i="2"/>
  <c r="K154" i="2"/>
  <c r="J154" i="2"/>
  <c r="I154" i="2"/>
  <c r="AU318" i="2"/>
  <c r="AT318" i="2"/>
  <c r="AS318" i="2"/>
  <c r="AR318" i="2"/>
  <c r="B164" i="2"/>
  <c r="K153" i="2"/>
  <c r="J153" i="2"/>
  <c r="I153" i="2"/>
  <c r="AU317" i="2"/>
  <c r="AT317" i="2"/>
  <c r="AS317" i="2"/>
  <c r="AR317" i="2"/>
  <c r="B163" i="2"/>
  <c r="K152" i="2"/>
  <c r="J152" i="2"/>
  <c r="I152" i="2"/>
  <c r="AU316" i="2"/>
  <c r="AT316" i="2"/>
  <c r="AS316" i="2"/>
  <c r="AR316" i="2"/>
  <c r="E157" i="2"/>
  <c r="D157" i="2"/>
  <c r="C157" i="2"/>
  <c r="B157" i="2"/>
  <c r="J146" i="2"/>
  <c r="I146" i="2"/>
  <c r="H146" i="2"/>
  <c r="E146" i="2"/>
  <c r="E156" i="2"/>
  <c r="D156" i="2"/>
  <c r="C156" i="2"/>
  <c r="B156" i="2"/>
  <c r="J145" i="2"/>
  <c r="I145" i="2"/>
  <c r="H145" i="2"/>
  <c r="E145" i="2"/>
  <c r="E155" i="2"/>
  <c r="D155" i="2"/>
  <c r="C155" i="2"/>
  <c r="B155" i="2"/>
  <c r="J144" i="2"/>
  <c r="I144" i="2"/>
  <c r="H144" i="2"/>
  <c r="E144" i="2"/>
  <c r="E154" i="2"/>
  <c r="D154" i="2"/>
  <c r="C154" i="2"/>
  <c r="B154" i="2"/>
  <c r="J143" i="2"/>
  <c r="I143" i="2"/>
  <c r="H143" i="2"/>
  <c r="E143" i="2"/>
  <c r="E153" i="2"/>
  <c r="D153" i="2"/>
  <c r="C153" i="2"/>
  <c r="B153" i="2"/>
  <c r="J142" i="2"/>
  <c r="I142" i="2"/>
  <c r="H142" i="2"/>
  <c r="E142" i="2"/>
  <c r="E152" i="2"/>
  <c r="D152" i="2"/>
  <c r="C152" i="2"/>
  <c r="B152" i="2"/>
  <c r="J141" i="2"/>
  <c r="I141" i="2"/>
  <c r="H141" i="2"/>
  <c r="E141" i="2"/>
  <c r="D146" i="2"/>
  <c r="C146" i="2"/>
  <c r="B146" i="2"/>
  <c r="K132" i="2"/>
  <c r="D145" i="2"/>
  <c r="C145" i="2"/>
  <c r="B145" i="2"/>
  <c r="K131" i="2"/>
  <c r="D144" i="2"/>
  <c r="C144" i="2"/>
  <c r="B144" i="2"/>
  <c r="K130" i="2"/>
  <c r="D143" i="2"/>
  <c r="C143" i="2"/>
  <c r="B143" i="2"/>
  <c r="K129" i="2"/>
  <c r="D142" i="2"/>
  <c r="C142" i="2"/>
  <c r="B142" i="2"/>
  <c r="K128" i="2"/>
  <c r="D141" i="2"/>
  <c r="C141" i="2"/>
  <c r="B141" i="2"/>
  <c r="K127" i="2"/>
  <c r="J132" i="2"/>
  <c r="I132" i="2"/>
  <c r="H132" i="2"/>
  <c r="E132" i="2"/>
  <c r="D132" i="2"/>
  <c r="C132" i="2"/>
  <c r="B132" i="2"/>
  <c r="K122" i="2"/>
  <c r="J131" i="2"/>
  <c r="I131" i="2"/>
  <c r="H131" i="2"/>
  <c r="E131" i="2"/>
  <c r="D131" i="2"/>
  <c r="C131" i="2"/>
  <c r="B131" i="2"/>
  <c r="K121" i="2"/>
  <c r="J130" i="2"/>
  <c r="I130" i="2"/>
  <c r="H130" i="2"/>
  <c r="E130" i="2"/>
  <c r="D130" i="2"/>
  <c r="C130" i="2"/>
  <c r="B130" i="2"/>
  <c r="K120" i="2"/>
  <c r="J129" i="2"/>
  <c r="I129" i="2"/>
  <c r="H129" i="2"/>
  <c r="E129" i="2"/>
  <c r="D129" i="2"/>
  <c r="C129" i="2"/>
  <c r="B129" i="2"/>
  <c r="K119" i="2"/>
  <c r="J128" i="2"/>
  <c r="I128" i="2"/>
  <c r="H128" i="2"/>
  <c r="E128" i="2"/>
  <c r="D128" i="2"/>
  <c r="C128" i="2"/>
  <c r="B128" i="2"/>
  <c r="K118" i="2"/>
  <c r="J127" i="2"/>
  <c r="I127" i="2"/>
  <c r="H127" i="2"/>
  <c r="E127" i="2"/>
  <c r="D127" i="2"/>
  <c r="C127" i="2"/>
  <c r="B127" i="2"/>
  <c r="K117" i="2"/>
  <c r="J122" i="2"/>
  <c r="I122" i="2"/>
  <c r="H122" i="2"/>
  <c r="E122" i="2"/>
  <c r="D122" i="2"/>
  <c r="C122" i="2"/>
  <c r="B122" i="2"/>
  <c r="K111" i="2"/>
  <c r="J121" i="2"/>
  <c r="I121" i="2"/>
  <c r="H121" i="2"/>
  <c r="E121" i="2"/>
  <c r="D121" i="2"/>
  <c r="C121" i="2"/>
  <c r="B121" i="2"/>
  <c r="K110" i="2"/>
  <c r="J120" i="2"/>
  <c r="I120" i="2"/>
  <c r="H120" i="2"/>
  <c r="E120" i="2"/>
  <c r="D120" i="2"/>
  <c r="C120" i="2"/>
  <c r="B120" i="2"/>
  <c r="K109" i="2"/>
  <c r="J119" i="2"/>
  <c r="I119" i="2"/>
  <c r="H119" i="2"/>
  <c r="E119" i="2"/>
  <c r="D119" i="2"/>
  <c r="C119" i="2"/>
  <c r="B119" i="2"/>
  <c r="K108" i="2"/>
  <c r="J118" i="2"/>
  <c r="I118" i="2"/>
  <c r="H118" i="2"/>
  <c r="E118" i="2"/>
  <c r="D118" i="2"/>
  <c r="C118" i="2"/>
  <c r="B118" i="2"/>
  <c r="K107" i="2"/>
  <c r="J117" i="2"/>
  <c r="I117" i="2"/>
  <c r="H117" i="2"/>
  <c r="E117" i="2"/>
  <c r="D117" i="2"/>
  <c r="C117" i="2"/>
  <c r="B117" i="2"/>
  <c r="K106" i="2"/>
  <c r="J111" i="2"/>
  <c r="I111" i="2"/>
  <c r="H111" i="2"/>
  <c r="E111" i="2"/>
  <c r="D111" i="2"/>
  <c r="C111" i="2"/>
  <c r="B111" i="2"/>
  <c r="L98" i="2"/>
  <c r="K98" i="2"/>
  <c r="J98" i="2"/>
  <c r="J110" i="2"/>
  <c r="I110" i="2"/>
  <c r="H110" i="2"/>
  <c r="E110" i="2"/>
  <c r="D110" i="2"/>
  <c r="C110" i="2"/>
  <c r="B110" i="2"/>
  <c r="L97" i="2"/>
  <c r="K97" i="2"/>
  <c r="J97" i="2"/>
  <c r="J109" i="2"/>
  <c r="I109" i="2"/>
  <c r="H109" i="2"/>
  <c r="E109" i="2"/>
  <c r="D109" i="2"/>
  <c r="C109" i="2"/>
  <c r="B109" i="2"/>
  <c r="L96" i="2"/>
  <c r="K96" i="2"/>
  <c r="J96" i="2"/>
  <c r="J108" i="2"/>
  <c r="I108" i="2"/>
  <c r="H108" i="2"/>
  <c r="E108" i="2"/>
  <c r="D108" i="2"/>
  <c r="C108" i="2"/>
  <c r="B108" i="2"/>
  <c r="L95" i="2"/>
  <c r="K95" i="2"/>
  <c r="J95" i="2"/>
  <c r="J107" i="2"/>
  <c r="I107" i="2"/>
  <c r="H107" i="2"/>
  <c r="E107" i="2"/>
  <c r="D107" i="2"/>
  <c r="C107" i="2"/>
  <c r="B107" i="2"/>
  <c r="L94" i="2"/>
  <c r="K94" i="2"/>
  <c r="J94" i="2"/>
  <c r="J106" i="2"/>
  <c r="I106" i="2"/>
  <c r="H106" i="2"/>
  <c r="E106" i="2"/>
  <c r="D106" i="2"/>
  <c r="C106" i="2"/>
  <c r="B106" i="2"/>
  <c r="L93" i="2"/>
  <c r="K93" i="2"/>
  <c r="J93" i="2"/>
  <c r="I98" i="2"/>
  <c r="H98" i="2"/>
  <c r="F98" i="2"/>
  <c r="E98" i="2"/>
  <c r="D98" i="2"/>
  <c r="C98" i="2"/>
  <c r="B98" i="2"/>
  <c r="L88" i="2"/>
  <c r="K88" i="2"/>
  <c r="J88" i="2"/>
  <c r="I97" i="2"/>
  <c r="H97" i="2"/>
  <c r="F97" i="2"/>
  <c r="E97" i="2"/>
  <c r="D97" i="2"/>
  <c r="C97" i="2"/>
  <c r="B97" i="2"/>
  <c r="L87" i="2"/>
  <c r="K87" i="2"/>
  <c r="J87" i="2"/>
  <c r="I96" i="2"/>
  <c r="H96" i="2"/>
  <c r="F96" i="2"/>
  <c r="E96" i="2"/>
  <c r="D96" i="2"/>
  <c r="C96" i="2"/>
  <c r="B96" i="2"/>
  <c r="L86" i="2"/>
  <c r="K86" i="2"/>
  <c r="J86" i="2"/>
  <c r="I95" i="2"/>
  <c r="H95" i="2"/>
  <c r="F95" i="2"/>
  <c r="E95" i="2"/>
  <c r="D95" i="2"/>
  <c r="C95" i="2"/>
  <c r="B95" i="2"/>
  <c r="L85" i="2"/>
  <c r="K85" i="2"/>
  <c r="J85" i="2"/>
  <c r="I94" i="2"/>
  <c r="H94" i="2"/>
  <c r="F94" i="2"/>
  <c r="E94" i="2"/>
  <c r="D94" i="2"/>
  <c r="C94" i="2"/>
  <c r="B94" i="2"/>
  <c r="L84" i="2"/>
  <c r="K84" i="2"/>
  <c r="J84" i="2"/>
  <c r="I93" i="2"/>
  <c r="H93" i="2"/>
  <c r="F93" i="2"/>
  <c r="E93" i="2"/>
  <c r="D93" i="2"/>
  <c r="C93" i="2"/>
  <c r="B93" i="2"/>
  <c r="L83" i="2"/>
  <c r="K83" i="2"/>
  <c r="J83" i="2"/>
  <c r="F78" i="2"/>
  <c r="E78" i="2"/>
  <c r="D78" i="2"/>
  <c r="C78" i="2"/>
  <c r="B78" i="2"/>
  <c r="L65" i="2"/>
  <c r="K65" i="2"/>
  <c r="J65" i="2"/>
  <c r="I65" i="2"/>
  <c r="H65" i="2"/>
  <c r="F77" i="2"/>
  <c r="E77" i="2"/>
  <c r="D77" i="2"/>
  <c r="C77" i="2"/>
  <c r="B77" i="2"/>
  <c r="L64" i="2"/>
  <c r="K64" i="2"/>
  <c r="J64" i="2"/>
  <c r="I64" i="2"/>
  <c r="H64" i="2"/>
  <c r="F76" i="2"/>
  <c r="E76" i="2"/>
  <c r="D76" i="2"/>
  <c r="C76" i="2"/>
  <c r="B76" i="2"/>
  <c r="L63" i="2"/>
  <c r="K63" i="2"/>
  <c r="J63" i="2"/>
  <c r="I63" i="2"/>
  <c r="H63" i="2"/>
  <c r="F75" i="2"/>
  <c r="E75" i="2"/>
  <c r="D75" i="2"/>
  <c r="C75" i="2"/>
  <c r="B75" i="2"/>
  <c r="L62" i="2"/>
  <c r="K62" i="2"/>
  <c r="J62" i="2"/>
  <c r="I62" i="2"/>
  <c r="H62" i="2"/>
  <c r="F74" i="2"/>
  <c r="E74" i="2"/>
  <c r="D74" i="2"/>
  <c r="C74" i="2"/>
  <c r="B74" i="2"/>
  <c r="L61" i="2"/>
  <c r="K61" i="2"/>
  <c r="J61" i="2"/>
  <c r="I61" i="2"/>
  <c r="H61" i="2"/>
  <c r="F73" i="2"/>
  <c r="E73" i="2"/>
  <c r="D73" i="2"/>
  <c r="C73" i="2"/>
  <c r="B73" i="2"/>
  <c r="L60" i="2"/>
  <c r="K60" i="2"/>
  <c r="J60" i="2"/>
  <c r="I60" i="2"/>
  <c r="H60" i="2"/>
  <c r="F65" i="2"/>
  <c r="E65" i="2"/>
  <c r="D65" i="2"/>
  <c r="C65" i="2"/>
  <c r="B65" i="2"/>
  <c r="L54" i="2"/>
  <c r="K54" i="2"/>
  <c r="J54" i="2"/>
  <c r="I54" i="2"/>
  <c r="H54" i="2"/>
  <c r="F64" i="2"/>
  <c r="E64" i="2"/>
  <c r="D64" i="2"/>
  <c r="C64" i="2"/>
  <c r="B64" i="2"/>
  <c r="L53" i="2"/>
  <c r="K53" i="2"/>
  <c r="J53" i="2"/>
  <c r="I53" i="2"/>
  <c r="H53" i="2"/>
  <c r="F63" i="2"/>
  <c r="E63" i="2"/>
  <c r="D63" i="2"/>
  <c r="C63" i="2"/>
  <c r="B63" i="2"/>
  <c r="L52" i="2"/>
  <c r="K52" i="2"/>
  <c r="J52" i="2"/>
  <c r="I52" i="2"/>
  <c r="H52" i="2"/>
  <c r="F62" i="2"/>
  <c r="E62" i="2"/>
  <c r="D62" i="2"/>
  <c r="C62" i="2"/>
  <c r="B62" i="2"/>
  <c r="L51" i="2"/>
  <c r="K51" i="2"/>
  <c r="J51" i="2"/>
  <c r="I51" i="2"/>
  <c r="H51" i="2"/>
  <c r="F61" i="2"/>
  <c r="E61" i="2"/>
  <c r="D61" i="2"/>
  <c r="C61" i="2"/>
  <c r="B61" i="2"/>
  <c r="L50" i="2"/>
  <c r="K50" i="2"/>
  <c r="J50" i="2"/>
  <c r="I50" i="2"/>
  <c r="H50" i="2"/>
  <c r="F60" i="2"/>
  <c r="E60" i="2"/>
  <c r="D60" i="2"/>
  <c r="C60" i="2"/>
  <c r="B60" i="2"/>
  <c r="L49" i="2"/>
  <c r="K49" i="2"/>
  <c r="J49" i="2"/>
  <c r="I49" i="2"/>
  <c r="H49" i="2"/>
  <c r="F54" i="2"/>
  <c r="E54" i="2"/>
  <c r="D54" i="2"/>
  <c r="C54" i="2"/>
  <c r="B54" i="2"/>
  <c r="L43" i="2"/>
  <c r="K43" i="2"/>
  <c r="J43" i="2"/>
  <c r="I43" i="2"/>
  <c r="H43" i="2"/>
  <c r="F53" i="2"/>
  <c r="E53" i="2"/>
  <c r="D53" i="2"/>
  <c r="C53" i="2"/>
  <c r="B53" i="2"/>
  <c r="L42" i="2"/>
  <c r="K42" i="2"/>
  <c r="J42" i="2"/>
  <c r="I42" i="2"/>
  <c r="H42" i="2"/>
  <c r="F52" i="2"/>
  <c r="E52" i="2"/>
  <c r="D52" i="2"/>
  <c r="C52" i="2"/>
  <c r="B52" i="2"/>
  <c r="L41" i="2"/>
  <c r="K41" i="2"/>
  <c r="J41" i="2"/>
  <c r="I41" i="2"/>
  <c r="H41" i="2"/>
  <c r="F51" i="2"/>
  <c r="E51" i="2"/>
  <c r="D51" i="2"/>
  <c r="C51" i="2"/>
  <c r="B51" i="2"/>
  <c r="L40" i="2"/>
  <c r="K40" i="2"/>
  <c r="J40" i="2"/>
  <c r="I40" i="2"/>
  <c r="H40" i="2"/>
  <c r="F50" i="2"/>
  <c r="E50" i="2"/>
  <c r="D50" i="2"/>
  <c r="C50" i="2"/>
  <c r="B50" i="2"/>
  <c r="L39" i="2"/>
  <c r="K39" i="2"/>
  <c r="J39" i="2"/>
  <c r="I39" i="2"/>
  <c r="H39" i="2"/>
  <c r="F49" i="2"/>
  <c r="E49" i="2"/>
  <c r="D49" i="2"/>
  <c r="C49" i="2"/>
  <c r="B49" i="2"/>
  <c r="L38" i="2"/>
  <c r="K38" i="2"/>
  <c r="J38" i="2"/>
  <c r="I38" i="2"/>
  <c r="H38" i="2"/>
  <c r="I88" i="2"/>
  <c r="F88" i="2"/>
  <c r="E88" i="2"/>
  <c r="D88" i="2"/>
  <c r="C88" i="2"/>
  <c r="F43" i="2"/>
  <c r="E43" i="2"/>
  <c r="D43" i="2"/>
  <c r="C43" i="2"/>
  <c r="B43" i="2"/>
  <c r="I87" i="2"/>
  <c r="F87" i="2"/>
  <c r="E87" i="2"/>
  <c r="D87" i="2"/>
  <c r="C87" i="2"/>
  <c r="F42" i="2"/>
  <c r="E42" i="2"/>
  <c r="D42" i="2"/>
  <c r="C42" i="2"/>
  <c r="B42" i="2"/>
  <c r="I86" i="2"/>
  <c r="F86" i="2"/>
  <c r="E86" i="2"/>
  <c r="D86" i="2"/>
  <c r="C86" i="2"/>
  <c r="F41" i="2"/>
  <c r="E41" i="2"/>
  <c r="D41" i="2"/>
  <c r="C41" i="2"/>
  <c r="B41" i="2"/>
  <c r="I85" i="2"/>
  <c r="F85" i="2"/>
  <c r="E85" i="2"/>
  <c r="D85" i="2"/>
  <c r="C85" i="2"/>
  <c r="F40" i="2"/>
  <c r="E40" i="2"/>
  <c r="D40" i="2"/>
  <c r="C40" i="2"/>
  <c r="B40" i="2"/>
  <c r="I84" i="2"/>
  <c r="E84" i="2"/>
  <c r="D84" i="2"/>
  <c r="C84" i="2"/>
  <c r="F39" i="2"/>
  <c r="E39" i="2"/>
  <c r="D39" i="2"/>
  <c r="C39" i="2"/>
  <c r="B39" i="2"/>
  <c r="I83" i="2"/>
  <c r="F83" i="2"/>
  <c r="E83" i="2"/>
  <c r="D83" i="2"/>
  <c r="C83" i="2"/>
  <c r="F38" i="2"/>
  <c r="E38" i="2"/>
  <c r="D38" i="2"/>
  <c r="C38" i="2"/>
  <c r="B38" i="2"/>
  <c r="A269" i="2"/>
  <c r="A270" i="2"/>
  <c r="A271" i="2"/>
  <c r="A272" i="2"/>
  <c r="A273" i="2"/>
  <c r="A268" i="2"/>
  <c r="A260" i="2"/>
  <c r="A261" i="2"/>
  <c r="A262" i="2"/>
  <c r="A263" i="2"/>
  <c r="A264" i="2"/>
  <c r="A259" i="2"/>
  <c r="A251" i="2"/>
  <c r="A252" i="2"/>
  <c r="A253" i="2"/>
  <c r="A254" i="2"/>
  <c r="A255" i="2"/>
  <c r="A250" i="2"/>
  <c r="A242" i="2"/>
  <c r="A243" i="2"/>
  <c r="A244" i="2"/>
  <c r="A245" i="2"/>
  <c r="A246" i="2"/>
  <c r="A241" i="2"/>
  <c r="A231" i="2"/>
  <c r="A232" i="2"/>
  <c r="A233" i="2"/>
  <c r="A234" i="2"/>
  <c r="A235" i="2"/>
  <c r="A230" i="2"/>
  <c r="A221" i="2"/>
  <c r="A222" i="2"/>
  <c r="A223" i="2"/>
  <c r="A224" i="2"/>
  <c r="A225" i="2"/>
  <c r="A220" i="2"/>
  <c r="A210" i="2"/>
  <c r="A211" i="2"/>
  <c r="A212" i="2"/>
  <c r="A213" i="2"/>
  <c r="A214" i="2"/>
  <c r="A209" i="2"/>
  <c r="A198" i="2"/>
  <c r="A199" i="2"/>
  <c r="A200" i="2"/>
  <c r="A201" i="2"/>
  <c r="A202" i="2"/>
  <c r="A197" i="2"/>
  <c r="A187" i="2"/>
  <c r="A188" i="2"/>
  <c r="A189" i="2"/>
  <c r="A190" i="2"/>
  <c r="A191" i="2"/>
  <c r="A186" i="2"/>
  <c r="A176" i="2"/>
  <c r="A177" i="2"/>
  <c r="A178" i="2"/>
  <c r="A179" i="2"/>
  <c r="A180" i="2"/>
  <c r="A175" i="2"/>
  <c r="A164" i="2"/>
  <c r="A165" i="2"/>
  <c r="A166" i="2"/>
  <c r="A167" i="2"/>
  <c r="A168" i="2"/>
  <c r="A163" i="2"/>
  <c r="A153" i="2"/>
  <c r="A154" i="2"/>
  <c r="A155" i="2"/>
  <c r="A156" i="2"/>
  <c r="A157" i="2"/>
  <c r="A152" i="2"/>
  <c r="A142" i="2"/>
  <c r="A143" i="2"/>
  <c r="A144" i="2"/>
  <c r="A145" i="2"/>
  <c r="A146" i="2"/>
  <c r="A141" i="2"/>
  <c r="A128" i="2"/>
  <c r="A129" i="2"/>
  <c r="A130" i="2"/>
  <c r="A131" i="2"/>
  <c r="A132" i="2"/>
  <c r="A127" i="2"/>
  <c r="A118" i="2"/>
  <c r="A119" i="2"/>
  <c r="A120" i="2"/>
  <c r="A121" i="2"/>
  <c r="A122" i="2"/>
  <c r="A117" i="2"/>
  <c r="A107" i="2"/>
  <c r="A108" i="2"/>
  <c r="A109" i="2"/>
  <c r="A110" i="2"/>
  <c r="A111" i="2"/>
  <c r="A106" i="2"/>
  <c r="A94" i="2"/>
  <c r="A95" i="2"/>
  <c r="A96" i="2"/>
  <c r="A97" i="2"/>
  <c r="A98" i="2"/>
  <c r="A93" i="2"/>
  <c r="A84" i="2"/>
  <c r="A85" i="2"/>
  <c r="A86" i="2"/>
  <c r="A87" i="2"/>
  <c r="A88" i="2"/>
  <c r="A83" i="2"/>
  <c r="A74" i="2"/>
  <c r="A75" i="2"/>
  <c r="A76" i="2"/>
  <c r="A77" i="2"/>
  <c r="A78" i="2"/>
  <c r="A73" i="2"/>
  <c r="A61" i="2"/>
  <c r="A62" i="2"/>
  <c r="A63" i="2"/>
  <c r="A64" i="2"/>
  <c r="A65" i="2"/>
  <c r="A60" i="2"/>
  <c r="A54" i="2"/>
  <c r="A50" i="2"/>
  <c r="A51" i="2"/>
  <c r="A52" i="2"/>
  <c r="A53" i="2"/>
  <c r="A49" i="2"/>
  <c r="A39" i="2"/>
  <c r="A40" i="2"/>
  <c r="A41" i="2"/>
  <c r="A42" i="2"/>
  <c r="A43" i="2"/>
  <c r="A38" i="2"/>
  <c r="F48" i="2" l="1"/>
</calcChain>
</file>

<file path=xl/sharedStrings.xml><?xml version="1.0" encoding="utf-8"?>
<sst xmlns="http://schemas.openxmlformats.org/spreadsheetml/2006/main" count="983" uniqueCount="519">
  <si>
    <t>Total Population</t>
  </si>
  <si>
    <t>Unemployed Annual Average</t>
  </si>
  <si>
    <t>School Enrollment PreK-12</t>
  </si>
  <si>
    <t>Free or Reduced Meals P-12</t>
  </si>
  <si>
    <t>Have Limited English Proficiency P-12</t>
  </si>
  <si>
    <t>Receive Special Education P-12</t>
  </si>
  <si>
    <t>Number of Resident Births</t>
  </si>
  <si>
    <t>Birth Rate 
(per 1,000 population)</t>
  </si>
  <si>
    <t>Percent Prenatal Care 
Initiated 1st Trimester</t>
  </si>
  <si>
    <t>Percent of Births to Unmarried Women</t>
  </si>
  <si>
    <t>Number of Infant Deaths 
(birth/death linked cohort)</t>
  </si>
  <si>
    <t>Number of Deaths</t>
  </si>
  <si>
    <t>Crude Death Rate</t>
  </si>
  <si>
    <t>Age Adjusted Death Rate</t>
  </si>
  <si>
    <t>Heart Disease - Number of Deaths</t>
  </si>
  <si>
    <t>Cancer - Number of Deaths</t>
  </si>
  <si>
    <t>Stroke - Number of Deaths</t>
  </si>
  <si>
    <t>Unintentional Injury - Number of Deaths</t>
  </si>
  <si>
    <t>Heart Disease AA Rates</t>
  </si>
  <si>
    <t>Cancer AA Rates</t>
  </si>
  <si>
    <t>Stroke AA Rates</t>
  </si>
  <si>
    <t>UI AA Rates</t>
  </si>
  <si>
    <t>State of Minnesota</t>
  </si>
  <si>
    <t>Number</t>
  </si>
  <si>
    <t>County</t>
  </si>
  <si>
    <t>White</t>
  </si>
  <si>
    <t>Afr. Amer.</t>
  </si>
  <si>
    <t>Amer. Ind.</t>
  </si>
  <si>
    <t>Asian</t>
  </si>
  <si>
    <t>Latino</t>
  </si>
  <si>
    <t>AA</t>
  </si>
  <si>
    <t>AI</t>
  </si>
  <si>
    <t>*</t>
  </si>
  <si>
    <t>Low Birth Weight - Singletons % 
(Under 2,500 grams)</t>
  </si>
  <si>
    <t>American Indian</t>
  </si>
  <si>
    <t>Number of Births</t>
  </si>
  <si>
    <t>Birth Rate per 1,000 Population</t>
  </si>
  <si>
    <t>African American</t>
  </si>
  <si>
    <t>Heart Disease, Number</t>
  </si>
  <si>
    <t>Cancer, Number</t>
  </si>
  <si>
    <t>Stroke, Number</t>
  </si>
  <si>
    <t>Unintentional Injury, Number</t>
  </si>
  <si>
    <t>Age Adjusted Death Rate - Males</t>
  </si>
  <si>
    <t>Age Adjusted Death Rate - Females</t>
  </si>
  <si>
    <t>Demographics</t>
  </si>
  <si>
    <t>Age Adjusted Death Rate per 100,000 Population</t>
  </si>
  <si>
    <t>Latina**</t>
  </si>
  <si>
    <t>Latino**</t>
  </si>
  <si>
    <t>Aitkin County</t>
  </si>
  <si>
    <t>Anoka County</t>
  </si>
  <si>
    <t>Becker County</t>
  </si>
  <si>
    <t>Beltrami County</t>
  </si>
  <si>
    <t>Benton County</t>
  </si>
  <si>
    <t>Big Stone County</t>
  </si>
  <si>
    <t>Blue Earth County</t>
  </si>
  <si>
    <t>Brown County</t>
  </si>
  <si>
    <t>Carlton County</t>
  </si>
  <si>
    <t>Cass County</t>
  </si>
  <si>
    <t>Chippewa County</t>
  </si>
  <si>
    <t>Chisago County</t>
  </si>
  <si>
    <t>Clay County</t>
  </si>
  <si>
    <t>Clearwater County</t>
  </si>
  <si>
    <t>Cook County</t>
  </si>
  <si>
    <t>Cottonwood County</t>
  </si>
  <si>
    <t>Crow Wing County</t>
  </si>
  <si>
    <t>Dakota County</t>
  </si>
  <si>
    <t>Dodge County</t>
  </si>
  <si>
    <t>Douglas County</t>
  </si>
  <si>
    <t>Faribault County</t>
  </si>
  <si>
    <t>Fillmore County</t>
  </si>
  <si>
    <t>Freeborn County</t>
  </si>
  <si>
    <t>Goodhue County</t>
  </si>
  <si>
    <t>Grant County</t>
  </si>
  <si>
    <t>Hennepin County</t>
  </si>
  <si>
    <t>Houston County</t>
  </si>
  <si>
    <t>Hubbard County</t>
  </si>
  <si>
    <t>Isanti County</t>
  </si>
  <si>
    <t>Itasca County</t>
  </si>
  <si>
    <t>Jackson County</t>
  </si>
  <si>
    <t>Kanabec County</t>
  </si>
  <si>
    <t>Kandiyohi County</t>
  </si>
  <si>
    <t>Kittson County</t>
  </si>
  <si>
    <t>Koochiching County</t>
  </si>
  <si>
    <t>Lac Qui Parle County</t>
  </si>
  <si>
    <t>Lake County</t>
  </si>
  <si>
    <t>Lake of the Woods County</t>
  </si>
  <si>
    <t>Le Sueur County</t>
  </si>
  <si>
    <t>Lincoln County</t>
  </si>
  <si>
    <t>Lyon County</t>
  </si>
  <si>
    <t>McLeod County</t>
  </si>
  <si>
    <t>Mahnomen County</t>
  </si>
  <si>
    <t>Marshall County</t>
  </si>
  <si>
    <t>Martin County</t>
  </si>
  <si>
    <t>Meeker County</t>
  </si>
  <si>
    <t>Mille Lacs County</t>
  </si>
  <si>
    <t>Morrison County</t>
  </si>
  <si>
    <t>Mower County</t>
  </si>
  <si>
    <t>Murray County</t>
  </si>
  <si>
    <t>Nicollet County</t>
  </si>
  <si>
    <t>Nobles County</t>
  </si>
  <si>
    <t>Norman County</t>
  </si>
  <si>
    <t>Olmsted County</t>
  </si>
  <si>
    <t>Otter Tail County</t>
  </si>
  <si>
    <t>Pennington County</t>
  </si>
  <si>
    <t>Pine County</t>
  </si>
  <si>
    <t>Pipestone County</t>
  </si>
  <si>
    <t>Polk County</t>
  </si>
  <si>
    <t>Pope County</t>
  </si>
  <si>
    <t>Ramsey County</t>
  </si>
  <si>
    <t>Red Lake County</t>
  </si>
  <si>
    <t>Redwood County</t>
  </si>
  <si>
    <t>Renville County</t>
  </si>
  <si>
    <t>Rice County</t>
  </si>
  <si>
    <t>Rock County</t>
  </si>
  <si>
    <t>Roseau County</t>
  </si>
  <si>
    <t>St. Louis County</t>
  </si>
  <si>
    <t>Scott County</t>
  </si>
  <si>
    <t>Sherburne County</t>
  </si>
  <si>
    <t>Sibley County</t>
  </si>
  <si>
    <t>Stearns County</t>
  </si>
  <si>
    <t>Steele County</t>
  </si>
  <si>
    <t>Stevens County</t>
  </si>
  <si>
    <t>Swift County</t>
  </si>
  <si>
    <t>Todd County</t>
  </si>
  <si>
    <t>Traverse County</t>
  </si>
  <si>
    <t>Wabasha County</t>
  </si>
  <si>
    <t>Wadena County</t>
  </si>
  <si>
    <t>Waseca County</t>
  </si>
  <si>
    <t>Washington County</t>
  </si>
  <si>
    <t>Watonwan County</t>
  </si>
  <si>
    <t>Wilkin County</t>
  </si>
  <si>
    <t>Winona County</t>
  </si>
  <si>
    <t>Wright County</t>
  </si>
  <si>
    <t>Yellow Medicine County</t>
  </si>
  <si>
    <t>Carver County</t>
  </si>
  <si>
    <t>Births to Unmarried Women- Percent</t>
  </si>
  <si>
    <t>Center for Health Statistics</t>
  </si>
  <si>
    <t>Minnesota Department of Health</t>
  </si>
  <si>
    <r>
      <t xml:space="preserve">PO Box 64882 </t>
    </r>
    <r>
      <rPr>
        <sz val="8"/>
        <rFont val="Symbol"/>
        <family val="1"/>
        <charset val="2"/>
      </rPr>
      <t>·</t>
    </r>
    <r>
      <rPr>
        <sz val="12"/>
        <rFont val="Eras Medium ITC"/>
        <family val="2"/>
      </rPr>
      <t xml:space="preserve"> St. Paul, MN  </t>
    </r>
    <r>
      <rPr>
        <sz val="8"/>
        <rFont val="Symbol"/>
        <family val="1"/>
        <charset val="2"/>
      </rPr>
      <t>·</t>
    </r>
    <r>
      <rPr>
        <sz val="12"/>
        <rFont val="Eras Medium ITC"/>
        <family val="2"/>
      </rPr>
      <t xml:space="preserve">  55164-0884</t>
    </r>
  </si>
  <si>
    <t>http://www.health.state.mn.us/divs/chs/top_2.htm</t>
  </si>
  <si>
    <t>Heart Disease, Age Adjusted Death Rate</t>
  </si>
  <si>
    <t>Cancer, Age Adjusted Death Rate</t>
  </si>
  <si>
    <t>Stroke, Age Adjusted Death Rate</t>
  </si>
  <si>
    <t>Crude Death Rate per 100,000 Population</t>
  </si>
  <si>
    <t>NA</t>
  </si>
  <si>
    <t>Four Year Graduation Rate per 100</t>
  </si>
  <si>
    <t>Socioeconomics</t>
  </si>
  <si>
    <t>Students Eligible for Free or Reduced Meals - 
Percent, School Year</t>
  </si>
  <si>
    <t>Total Enrollment  - School Year</t>
  </si>
  <si>
    <t>Students with Limited English Proficiency - 
Percent, School Year</t>
  </si>
  <si>
    <t>Students Receiving Special Education - 
Percent, School Year</t>
  </si>
  <si>
    <t>Low Birth Weight (less than 2,500 grams),
 Singletons - Number</t>
  </si>
  <si>
    <t>Premature Births (less than 37 weeks gestation), Singletons - Number</t>
  </si>
  <si>
    <t>Receiving Prenatal Care in the 1st Trimester - 
Percent</t>
  </si>
  <si>
    <t>None</t>
  </si>
  <si>
    <t>Unintent. Injury, Age Adjusted Death Rate</t>
  </si>
  <si>
    <t>*Rates not calculated for less than 20 events</t>
  </si>
  <si>
    <t>Minnesota Center for Health Statistics</t>
  </si>
  <si>
    <t>PO Box 64882 * St. Paul, MN * 55164-0882</t>
  </si>
  <si>
    <t>www.health.state.mn.us/divs/chs</t>
  </si>
  <si>
    <t>healthstats@state.mn.us</t>
  </si>
  <si>
    <t>**Can be any race</t>
  </si>
  <si>
    <t>*Percentages based on numerators less than or equal to 20 may be unstable and should be interpreted with caution</t>
  </si>
  <si>
    <t>Premature Births (less than 37 weeks gestation), Singletons - Percent*</t>
  </si>
  <si>
    <t>Low Birth Weight (less than 2,500 grams),
 Singletons - Percent*</t>
  </si>
  <si>
    <t>Percent of Mothers who Smoked during Pregnancy</t>
  </si>
  <si>
    <t>High School Drop Out Rate per 100</t>
  </si>
  <si>
    <t>High School Dropout Rate per 100</t>
  </si>
  <si>
    <t xml:space="preserve"> Four-Year High School Graduation Rate per 100</t>
  </si>
  <si>
    <t>The Minnesota Vital Statistics Trend Report is a report on demographic, natality and mortality trends for Minnesota, its 87 counties and community health boards (CHBs).  This report provides information on selected indicators including age dependency ratios, low birth weight, prenatal care, and selected causes of death.</t>
  </si>
  <si>
    <t>Instructions</t>
  </si>
  <si>
    <t>a191</t>
  </si>
  <si>
    <t>a192</t>
  </si>
  <si>
    <t>a193</t>
  </si>
  <si>
    <t>a194</t>
  </si>
  <si>
    <t>a195</t>
  </si>
  <si>
    <t>a196</t>
  </si>
  <si>
    <t>a197</t>
  </si>
  <si>
    <t>a198</t>
  </si>
  <si>
    <t>a199</t>
  </si>
  <si>
    <t>a200</t>
  </si>
  <si>
    <t>a201</t>
  </si>
  <si>
    <t>a202</t>
  </si>
  <si>
    <t>a203</t>
  </si>
  <si>
    <t>a204</t>
  </si>
  <si>
    <t>a205</t>
  </si>
  <si>
    <t>a206</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</si>
  <si>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</si>
  <si>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</si>
  <si>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</si>
  <si>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</si>
  <si>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</si>
  <si>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</si>
  <si>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</si>
  <si>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</si>
  <si>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</si>
  <si>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</si>
  <si>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</si>
  <si>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</si>
  <si>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</si>
  <si>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</si>
  <si>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</si>
  <si>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</si>
  <si>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</si>
  <si>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</si>
  <si>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</si>
  <si>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</si>
  <si>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</si>
  <si>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</si>
  <si>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</si>
  <si>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</si>
  <si>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</si>
  <si>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b191</t>
  </si>
  <si>
    <t>b192</t>
  </si>
  <si>
    <t>b193</t>
  </si>
  <si>
    <t>b194</t>
  </si>
  <si>
    <t>b195</t>
  </si>
  <si>
    <t>b196</t>
  </si>
  <si>
    <t>b197</t>
  </si>
  <si>
    <t>b198</t>
  </si>
  <si>
    <t>b199</t>
  </si>
  <si>
    <t>b200</t>
  </si>
  <si>
    <t>b201</t>
  </si>
  <si>
    <t>b202</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</si>
  <si>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</si>
  <si>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</si>
  <si>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</si>
  <si>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</si>
  <si>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</si>
  <si>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</si>
  <si>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</si>
  <si>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</si>
  <si>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</si>
  <si>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</si>
  <si>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</si>
  <si>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</si>
  <si>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</si>
  <si>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</si>
  <si>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</si>
  <si>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</si>
  <si>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</si>
  <si>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</si>
  <si>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</si>
  <si>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</si>
  <si>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</si>
  <si>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</si>
  <si>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</si>
  <si>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</si>
  <si>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</si>
  <si>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</si>
  <si>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</si>
  <si>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</si>
  <si>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</si>
  <si>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</si>
  <si>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</si>
  <si>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</si>
  <si>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</si>
  <si>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</si>
  <si>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</si>
  <si>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</si>
  <si>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</si>
  <si>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</si>
  <si>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</si>
  <si>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</si>
  <si>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</si>
  <si>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</si>
  <si>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</si>
  <si>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</si>
  <si>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</si>
  <si>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</si>
  <si>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</si>
  <si>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</si>
  <si>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</si>
  <si>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</si>
  <si>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</si>
  <si>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</si>
  <si>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</si>
  <si>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</si>
  <si>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</si>
  <si>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</si>
  <si>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</si>
  <si>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</si>
  <si>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</si>
  <si>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</si>
  <si>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</si>
  <si>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</si>
  <si>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</si>
  <si>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</si>
  <si>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</si>
  <si>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</si>
  <si>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</si>
  <si>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</si>
  <si>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</si>
  <si>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</si>
  <si>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</si>
  <si>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</si>
  <si>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</si>
  <si>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</si>
  <si>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</si>
  <si>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</si>
  <si>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</si>
  <si>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</si>
  <si>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</si>
  <si>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</si>
  <si>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</si>
  <si>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</si>
  <si>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</si>
  <si>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</si>
  <si>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</si>
  <si>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</si>
  <si>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</si>
  <si>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</si>
  <si>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</si>
  <si>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</si>
  <si>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</si>
  <si>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</si>
  <si>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</si>
  <si>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</si>
  <si>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</si>
  <si>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</si>
  <si>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</si>
  <si>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</si>
  <si>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</si>
  <si>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</si>
  <si>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</si>
  <si>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</si>
  <si>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</si>
  <si>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</si>
  <si>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</si>
  <si>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</si>
  <si>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</si>
  <si>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</si>
  <si>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</si>
  <si>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</si>
  <si>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</si>
  <si>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e191</t>
  </si>
  <si>
    <t>e192</t>
  </si>
  <si>
    <t>e193</t>
  </si>
  <si>
    <t>e194</t>
  </si>
  <si>
    <t>e195</t>
  </si>
  <si>
    <t>e196</t>
  </si>
  <si>
    <t>e197</t>
  </si>
  <si>
    <t>e198</t>
  </si>
  <si>
    <t>e199</t>
  </si>
  <si>
    <t>e200</t>
  </si>
  <si>
    <t>e201</t>
  </si>
  <si>
    <t>e202</t>
  </si>
  <si>
    <t>e203</t>
  </si>
  <si>
    <t>e204</t>
  </si>
  <si>
    <t>e205</t>
  </si>
  <si>
    <t>e206</t>
  </si>
  <si>
    <t>e207</t>
  </si>
  <si>
    <t>e208</t>
  </si>
  <si>
    <t>e209</t>
  </si>
  <si>
    <t>e210</t>
  </si>
  <si>
    <t>e211</t>
  </si>
  <si>
    <t>e212</t>
  </si>
  <si>
    <t>e213</t>
  </si>
  <si>
    <t>e214</t>
  </si>
  <si>
    <t>e215</t>
  </si>
  <si>
    <t>e216</t>
  </si>
  <si>
    <t>e217</t>
  </si>
  <si>
    <t>e218</t>
  </si>
  <si>
    <t>e219</t>
  </si>
  <si>
    <t>e220</t>
  </si>
  <si>
    <t>e221</t>
  </si>
  <si>
    <t>e222</t>
  </si>
  <si>
    <t>e223</t>
  </si>
  <si>
    <t>e224</t>
  </si>
  <si>
    <t>e225</t>
  </si>
  <si>
    <t>e226</t>
  </si>
  <si>
    <t>e227</t>
  </si>
  <si>
    <t>e228</t>
  </si>
  <si>
    <t>e229</t>
  </si>
  <si>
    <t>e230</t>
  </si>
  <si>
    <t>e231</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</si>
  <si>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</si>
  <si>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</si>
  <si>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</si>
  <si>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</si>
  <si>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</si>
  <si>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</si>
  <si>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</si>
  <si>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</si>
  <si>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</si>
  <si>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</si>
  <si>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</si>
  <si>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</si>
  <si>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</si>
  <si>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</si>
  <si>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</si>
  <si>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</si>
  <si>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</si>
  <si>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</si>
  <si>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</si>
  <si>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</si>
  <si>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</si>
  <si>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</si>
  <si>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</si>
  <si>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</si>
  <si>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</si>
  <si>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</si>
  <si>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</si>
  <si>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</si>
  <si>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</si>
  <si>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</si>
  <si>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</si>
  <si>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</si>
  <si>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</si>
  <si>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</si>
  <si>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</si>
  <si>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</si>
  <si>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</si>
  <si>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</si>
  <si>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</si>
  <si>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</si>
  <si>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</si>
  <si>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Extra cells for new data</t>
  </si>
  <si>
    <t>Number of Households</t>
  </si>
  <si>
    <t>Low Birth Weight - Singletons #
(Under 2,500 grams)</t>
  </si>
  <si>
    <t>Teen Birth Rate per 1,000 15-19 fe</t>
  </si>
  <si>
    <t>RE of Mother</t>
  </si>
  <si>
    <t>Preterm - Singletons %</t>
  </si>
  <si>
    <t>Preterm - Singletons#
(less than 37 weeks)</t>
  </si>
  <si>
    <t>Latina</t>
  </si>
  <si>
    <t>AS</t>
  </si>
  <si>
    <t>Extra Cells</t>
  </si>
  <si>
    <t>Aitkin, Itasca and Koochiching</t>
  </si>
  <si>
    <t>Big Stone, Chippewa, Lac Qui Parle, Swift and Yellow Medicine</t>
  </si>
  <si>
    <t>Brown and Nicollet</t>
  </si>
  <si>
    <t>Carlton, Cook, Lake and St. Louis</t>
  </si>
  <si>
    <t>Cottonwood and Jackson</t>
  </si>
  <si>
    <t>Douglas, Grant, Pope, Stevens and Traverse</t>
  </si>
  <si>
    <t>Dodge and Steele</t>
  </si>
  <si>
    <t>Fillmore and Houston</t>
  </si>
  <si>
    <t>Faribault and Martin</t>
  </si>
  <si>
    <t>Kittson, Marshall, Pennington, Red Lake and Roseau</t>
  </si>
  <si>
    <t>Kandiyohi and Renvilee</t>
  </si>
  <si>
    <t>Lincoln, Lyon, Murray, Pipestone, Redwood and Rock</t>
  </si>
  <si>
    <t>Le Sueur and Waseca</t>
  </si>
  <si>
    <t>Meeker, McCleod and Sibley</t>
  </si>
  <si>
    <t>Mahnomen, Norman and Polk</t>
  </si>
  <si>
    <t>Morrison, Todd and Wadena</t>
  </si>
  <si>
    <t xml:space="preserve">Minnesota Center for Health Statistics
</t>
  </si>
  <si>
    <r>
      <t>Total Population</t>
    </r>
    <r>
      <rPr>
        <b/>
        <vertAlign val="superscript"/>
        <sz val="9"/>
        <color theme="1"/>
        <rFont val="Tw Cen MT"/>
        <family val="2"/>
      </rPr>
      <t>1</t>
    </r>
  </si>
  <si>
    <r>
      <t>Elderly (age 65+) Dependency Ratio 
per 100 people aged 15-64</t>
    </r>
    <r>
      <rPr>
        <b/>
        <vertAlign val="superscript"/>
        <sz val="9"/>
        <color theme="1"/>
        <rFont val="Tw Cen MT"/>
        <family val="2"/>
      </rPr>
      <t>1</t>
    </r>
  </si>
  <si>
    <r>
      <t>Estimated Number of Households</t>
    </r>
    <r>
      <rPr>
        <b/>
        <vertAlign val="superscript"/>
        <sz val="9"/>
        <color theme="1"/>
        <rFont val="Tw Cen MT"/>
        <family val="2"/>
      </rPr>
      <t>2</t>
    </r>
  </si>
  <si>
    <r>
      <t>Child (under age 15) Dependency Ratio 
per 100 people aged 15-64</t>
    </r>
    <r>
      <rPr>
        <b/>
        <vertAlign val="superscript"/>
        <sz val="9"/>
        <color theme="1"/>
        <rFont val="Tw Cen MT"/>
        <family val="2"/>
      </rPr>
      <t>1</t>
    </r>
  </si>
  <si>
    <r>
      <t>Total Dependency (under 15, 65+) Ratio 
per 100 people aged 15-64</t>
    </r>
    <r>
      <rPr>
        <b/>
        <vertAlign val="superscript"/>
        <sz val="9"/>
        <color theme="1"/>
        <rFont val="Tw Cen MT"/>
        <family val="2"/>
      </rPr>
      <t>1</t>
    </r>
  </si>
  <si>
    <r>
      <t>Food Stamp Utilization - 
Average Monthly Households (Cases)</t>
    </r>
    <r>
      <rPr>
        <b/>
        <vertAlign val="superscript"/>
        <sz val="9"/>
        <color theme="1"/>
        <rFont val="Tw Cen MT"/>
        <family val="2"/>
      </rPr>
      <t>4</t>
    </r>
  </si>
  <si>
    <r>
      <t>Unemployed (Annual Average)</t>
    </r>
    <r>
      <rPr>
        <b/>
        <vertAlign val="superscript"/>
        <sz val="9"/>
        <color theme="1"/>
        <rFont val="Tw Cen MT"/>
        <family val="2"/>
      </rPr>
      <t>3</t>
    </r>
    <r>
      <rPr>
        <b/>
        <sz val="9"/>
        <color theme="1"/>
        <rFont val="Tw Cen MT"/>
        <family val="2"/>
      </rPr>
      <t xml:space="preserve"> - Percent</t>
    </r>
  </si>
  <si>
    <r>
      <t>Percent of All Ages Living in Poverty</t>
    </r>
    <r>
      <rPr>
        <b/>
        <vertAlign val="superscript"/>
        <sz val="9"/>
        <color theme="1"/>
        <rFont val="Tw Cen MT"/>
        <family val="2"/>
      </rPr>
      <t>1</t>
    </r>
  </si>
  <si>
    <r>
      <t>Percent of People under 18 Years Living in Poverty</t>
    </r>
    <r>
      <rPr>
        <b/>
        <vertAlign val="superscript"/>
        <sz val="9"/>
        <color theme="1"/>
        <rFont val="Tw Cen MT"/>
        <family val="2"/>
      </rPr>
      <t xml:space="preserve">1 </t>
    </r>
  </si>
  <si>
    <r>
      <t>Education (PreKindergarten to 12th Grade)</t>
    </r>
    <r>
      <rPr>
        <b/>
        <vertAlign val="superscript"/>
        <sz val="9"/>
        <color theme="1"/>
        <rFont val="Tw Cen MT"/>
        <family val="2"/>
      </rPr>
      <t>6</t>
    </r>
  </si>
  <si>
    <r>
      <t>Natality</t>
    </r>
    <r>
      <rPr>
        <b/>
        <vertAlign val="superscript"/>
        <sz val="9"/>
        <color theme="1"/>
        <rFont val="Tw Cen MT"/>
        <family val="2"/>
      </rPr>
      <t>7</t>
    </r>
  </si>
  <si>
    <r>
      <t>Number of Infant Deaths</t>
    </r>
    <r>
      <rPr>
        <b/>
        <vertAlign val="superscript"/>
        <sz val="9"/>
        <color theme="1"/>
        <rFont val="Tw Cen MT"/>
        <family val="2"/>
      </rPr>
      <t xml:space="preserve">8 </t>
    </r>
    <r>
      <rPr>
        <b/>
        <sz val="9"/>
        <color theme="1"/>
        <rFont val="Tw Cen MT"/>
        <family val="2"/>
      </rPr>
      <t>by</t>
    </r>
    <r>
      <rPr>
        <b/>
        <vertAlign val="superscript"/>
        <sz val="9"/>
        <color theme="1"/>
        <rFont val="Tw Cen MT"/>
        <family val="2"/>
      </rPr>
      <t xml:space="preserve"> </t>
    </r>
    <r>
      <rPr>
        <b/>
        <sz val="9"/>
        <color theme="1"/>
        <rFont val="Tw Cen MT"/>
        <family val="2"/>
      </rPr>
      <t>Birth Year</t>
    </r>
  </si>
  <si>
    <r>
      <t>Mortality</t>
    </r>
    <r>
      <rPr>
        <b/>
        <vertAlign val="superscript"/>
        <sz val="9"/>
        <color theme="1"/>
        <rFont val="Tw Cen MT"/>
        <family val="2"/>
      </rPr>
      <t>7</t>
    </r>
  </si>
  <si>
    <t>Mothers who Smoked during Pregnancy - 
Percent</t>
  </si>
  <si>
    <t>Teen Birth Rate 
per 1,000 15-19 year old females</t>
  </si>
  <si>
    <t>Aitkin, Itasca, Koochiching</t>
  </si>
  <si>
    <t>Brown, Nicollet</t>
  </si>
  <si>
    <t>Carlton, Cook, Lake, St. Louis</t>
  </si>
  <si>
    <t>Cottonwood, Jackson</t>
  </si>
  <si>
    <t>Clay, Wilkin</t>
  </si>
  <si>
    <t>Douglas, Grant, Pope, Stevens, Traverse</t>
  </si>
  <si>
    <t>Dodge, Steele</t>
  </si>
  <si>
    <t>Fillmore, Houston</t>
  </si>
  <si>
    <t>Faribault, Martin</t>
  </si>
  <si>
    <t>Kandiyohi, Renville</t>
  </si>
  <si>
    <t>LeSueur, Waseca</t>
  </si>
  <si>
    <t>Meeker, McLeod, Sibley</t>
  </si>
  <si>
    <t>Mahnomen, Norman, Polk</t>
  </si>
  <si>
    <t>Morrison, Todd, Wadena</t>
  </si>
  <si>
    <t>Big Stone, Chipp, LacquiParle, Swift, YM</t>
  </si>
  <si>
    <t>Kittson, Marshall, Pennington, RedLake, Roseau</t>
  </si>
  <si>
    <t>Lincoln, Lyon, Murray, Pipestne, Redwood, Rock</t>
  </si>
  <si>
    <t>Select counties and/or Community Health Boards:</t>
  </si>
  <si>
    <t>Center for Health Equity</t>
  </si>
  <si>
    <t>2014-15</t>
  </si>
  <si>
    <t>Clay, Wilkin, Becker, Otter Tail</t>
  </si>
  <si>
    <t>2015-16</t>
  </si>
  <si>
    <t>-</t>
  </si>
  <si>
    <t>2016-17</t>
  </si>
  <si>
    <t>2016-2017</t>
  </si>
  <si>
    <t>Clearwater, Hubbard, LakeoftheWoods</t>
  </si>
  <si>
    <t>Clearwater, Hubbard and Lake of the Woods</t>
  </si>
  <si>
    <t>Age Adjusted Rates Male</t>
  </si>
  <si>
    <t>Age Adjusted Rates female</t>
  </si>
  <si>
    <t>Food Stamp Utilization - Avg Monthly Households (req. from Shawn Welch DHS)</t>
  </si>
  <si>
    <t>Child Dependency Ratio [pop&lt;15/pop 15-64 *100]</t>
  </si>
  <si>
    <t>Elderly Dependency Ratio [pop65+/pop 15-64 *100]</t>
  </si>
  <si>
    <t>Total Dependency Ratio [(pop&lt;15 + pop65+)/pop 15-64 *100]</t>
  </si>
  <si>
    <t>% All Ages in Poverty</t>
  </si>
  <si>
    <t>% 0-17 in Poverty</t>
  </si>
  <si>
    <t>Minnesota 
State, County, and Community Health Board 
Vital Statistics Trend Report, 1998-2017</t>
  </si>
  <si>
    <t>Populaton by RE -2017</t>
  </si>
  <si>
    <t>2017-18</t>
  </si>
  <si>
    <t>2017-2018</t>
  </si>
  <si>
    <t>1998-2002</t>
  </si>
  <si>
    <t>2003-2007</t>
  </si>
  <si>
    <t>2008-2012</t>
  </si>
  <si>
    <t>2013-2017</t>
  </si>
  <si>
    <t>1997-2001</t>
  </si>
  <si>
    <t>2002-2006</t>
  </si>
  <si>
    <t>2007-2011</t>
  </si>
  <si>
    <t>2012-2016</t>
  </si>
  <si>
    <t>Deaths by RE - 2017</t>
  </si>
  <si>
    <r>
      <t>Median Household Income</t>
    </r>
    <r>
      <rPr>
        <vertAlign val="superscript"/>
        <sz val="10"/>
        <rFont val="Tw Cen MT"/>
        <family val="2"/>
      </rPr>
      <t>adjusted to 2017 dollars</t>
    </r>
  </si>
  <si>
    <r>
      <t>Per Capita Income</t>
    </r>
    <r>
      <rPr>
        <vertAlign val="superscript"/>
        <sz val="10"/>
        <rFont val="Tw Cen MT"/>
        <family val="2"/>
      </rPr>
      <t>adjusted to 2017 dollars</t>
    </r>
  </si>
  <si>
    <r>
      <t>White</t>
    </r>
    <r>
      <rPr>
        <vertAlign val="superscript"/>
        <sz val="9"/>
        <color theme="1"/>
        <rFont val="Tw Cen MT"/>
        <family val="2"/>
      </rPr>
      <t>1</t>
    </r>
  </si>
  <si>
    <r>
      <t>Hispanic</t>
    </r>
    <r>
      <rPr>
        <vertAlign val="superscript"/>
        <sz val="9"/>
        <color theme="1"/>
        <rFont val="Tw Cen MT"/>
        <family val="2"/>
      </rPr>
      <t>2</t>
    </r>
  </si>
  <si>
    <r>
      <rPr>
        <vertAlign val="superscript"/>
        <sz val="9"/>
        <rFont val="Tw Cen MT"/>
        <family val="2"/>
      </rPr>
      <t>1</t>
    </r>
    <r>
      <rPr>
        <sz val="9"/>
        <rFont val="Tw Cen MT"/>
        <family val="2"/>
      </rPr>
      <t xml:space="preserve"> Non-Hispanic race groups;</t>
    </r>
    <r>
      <rPr>
        <vertAlign val="superscript"/>
        <sz val="9"/>
        <rFont val="Tw Cen MT"/>
        <family val="2"/>
      </rPr>
      <t xml:space="preserve"> 2</t>
    </r>
    <r>
      <rPr>
        <sz val="9"/>
        <rFont val="Tw Cen MT"/>
        <family val="2"/>
      </rPr>
      <t xml:space="preserve"> Can be any race </t>
    </r>
  </si>
  <si>
    <t>African American 1</t>
  </si>
  <si>
    <r>
      <t>Population by Race/Ethnicity</t>
    </r>
    <r>
      <rPr>
        <b/>
        <vertAlign val="superscript"/>
        <sz val="9"/>
        <color theme="1"/>
        <rFont val="Tw Cen MT"/>
        <family val="2"/>
      </rPr>
      <t xml:space="preserve">1 </t>
    </r>
    <r>
      <rPr>
        <b/>
        <sz val="9"/>
        <color theme="1"/>
        <rFont val="Tw Cen MT"/>
        <family val="2"/>
      </rPr>
      <t>Year 2017</t>
    </r>
  </si>
  <si>
    <r>
      <t>Per Capita Income - Adjusted to 2017 Dollars</t>
    </r>
    <r>
      <rPr>
        <b/>
        <vertAlign val="superscript"/>
        <sz val="9"/>
        <color theme="1"/>
        <rFont val="Tw Cen MT"/>
        <family val="2"/>
      </rPr>
      <t>5</t>
    </r>
  </si>
  <si>
    <r>
      <t>Median Household Income -  - Adjusted to 2017 Dollars</t>
    </r>
    <r>
      <rPr>
        <b/>
        <vertAlign val="superscript"/>
        <sz val="9"/>
        <color theme="1"/>
        <rFont val="Tw Cen MT"/>
        <family val="2"/>
      </rPr>
      <t>1</t>
    </r>
  </si>
  <si>
    <t>Race/Ethnicity of Mother - Year 2017</t>
  </si>
  <si>
    <t>Number of Deaths by Race/Ethnicity - Year 2017</t>
  </si>
  <si>
    <t>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</si>
</sst>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
    <numFmt numFmtId="168" formatCode="_(&quot;$&quot;* #,##0_);_(&quot;$&quot;* \(#,##0\);_(&quot;$&quot;* &quot;-&quot;??_);_(@_)"/>
    <numFmt numFmtId="169" formatCode="&quot;$&quot;#,##0"/>
  </numFmts>
  <fonts count="59"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8"/>
      <name val="Times New Roman"/>
      <family val="1"/>
    </font>
    <font>
      <sz val="12"/>
      <name val="Times New Roman"/>
      <family val="1"/>
    </font>
    <font>
      <b/>
      <sz val="14"/>
      <name val="Eras Medium ITC"/>
      <family val="2"/>
    </font>
    <font>
      <i/>
      <sz val="12"/>
      <name val="Times New Roman"/>
      <family val="1"/>
    </font>
    <font>
      <i/>
      <sz val="12"/>
      <name val="Eras Medium ITC"/>
      <family val="2"/>
    </font>
    <font>
      <sz val="12"/>
      <name val="Eras Medium ITC"/>
      <family val="2"/>
    </font>
    <font>
      <sz val="8"/>
      <name val="Symbol"/>
      <family val="1"/>
      <charset val="2"/>
    </font>
    <font>
      <b/>
      <sz val="12"/>
      <name val="Eras Medium ITC"/>
      <family val="2"/>
    </font>
    <font>
      <sz val="9.5"/>
      <name val="Eras Medium ITC"/>
      <family val="2"/>
    </font>
    <font>
      <sz val="12"/>
      <name val="Tahoma"/>
      <family val="2"/>
    </font>
    <font>
      <i/>
      <sz val="14"/>
      <name val="Eras Medium ITC"/>
      <family val="2"/>
    </font>
    <font>
      <sz val="10"/>
      <name val="Times New Roman"/>
      <family val="1"/>
    </font>
    <font>
      <sz val="10"/>
      <name val="Tw Cen MT"/>
      <family val="2"/>
    </font>
    <font>
      <sz val="11"/>
      <color theme="1"/>
      <name val="Calibri"/>
      <family val="2"/>
      <scheme val="minor"/>
    </font>
    <font>
      <sz val="10"/>
      <color theme="1"/>
      <name val="Tw Cen MT"/>
      <family val="2"/>
    </font>
    <font>
      <b/>
      <sz val="12"/>
      <name val="Tw Cen MT"/>
      <family val="2"/>
    </font>
    <font>
      <sz val="9"/>
      <color theme="1"/>
      <name val="Tw Cen MT"/>
      <family val="2"/>
    </font>
    <font>
      <b/>
      <sz val="24"/>
      <name val="Tw Cen MT"/>
      <family val="2"/>
    </font>
    <font>
      <b/>
      <sz val="28"/>
      <name val="Tw Cen MT"/>
      <family val="2"/>
    </font>
    <font>
      <sz val="16"/>
      <name val="Tw Cen MT"/>
      <family val="2"/>
    </font>
    <font>
      <b/>
      <sz val="16"/>
      <name val="Tw Cen MT"/>
      <family val="2"/>
    </font>
    <font>
      <b/>
      <u/>
      <sz val="12"/>
      <color rgb="FF000000"/>
      <name val="Tw Cen MT"/>
      <family val="2"/>
    </font>
    <font>
      <sz val="12"/>
      <color rgb="FF000000"/>
      <name val="Tw Cen MT"/>
      <family val="2"/>
    </font>
    <font>
      <sz val="9"/>
      <color indexed="8"/>
      <name val="Tw Cen MT"/>
      <family val="2"/>
    </font>
    <font>
      <sz val="10"/>
      <name val="Arial"/>
      <family val="2"/>
    </font>
    <font>
      <sz val="9"/>
      <name val="Tw Cen MT"/>
      <family val="2"/>
    </font>
    <font>
      <sz val="10"/>
      <name val="Times New Roman"/>
      <family val="1"/>
    </font>
    <font>
      <sz val="10"/>
      <color theme="1"/>
      <name val="Arial"/>
      <family val="2"/>
    </font>
    <font>
      <b/>
      <sz val="9"/>
      <color theme="1"/>
      <name val="Tw Cen MT"/>
      <family val="2"/>
    </font>
    <font>
      <b/>
      <vertAlign val="superscript"/>
      <sz val="9"/>
      <color theme="1"/>
      <name val="Tw Cen MT"/>
      <family val="2"/>
    </font>
    <font>
      <u/>
      <sz val="9"/>
      <color indexed="12"/>
      <name val="Times New Roman"/>
      <family val="1"/>
    </font>
    <font>
      <sz val="10"/>
      <color rgb="FFFF0000"/>
      <name val="Tw Cen MT"/>
      <family val="2"/>
    </font>
    <font>
      <b/>
      <sz val="10"/>
      <name val="Tw Cen MT"/>
      <family val="2"/>
    </font>
    <font>
      <b/>
      <sz val="9"/>
      <name val="Tw Cen MT"/>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0"/>
      <name val="Tw Cen MT"/>
      <family val="2"/>
    </font>
    <font>
      <vertAlign val="superscript"/>
      <sz val="9"/>
      <color theme="1"/>
      <name val="Tw Cen MT"/>
      <family val="2"/>
    </font>
    <font>
      <vertAlign val="superscript"/>
      <sz val="9"/>
      <name val="Tw Cen MT"/>
      <family val="2"/>
    </font>
  </fonts>
  <fills count="39">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9">
    <xf numFmtId="0" fontId="0" fillId="0" borderId="0"/>
    <xf numFmtId="43" fontId="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4" fillId="0" borderId="0" applyFont="0" applyFill="0" applyBorder="0" applyAlignment="0" applyProtection="0"/>
    <xf numFmtId="44" fontId="17"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7" fillId="0" borderId="0"/>
    <xf numFmtId="0" fontId="19" fillId="0" borderId="0"/>
    <xf numFmtId="0" fontId="30" fillId="0" borderId="0"/>
    <xf numFmtId="0" fontId="4" fillId="0" borderId="0"/>
    <xf numFmtId="0" fontId="33" fillId="0" borderId="0"/>
    <xf numFmtId="0" fontId="3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0" fontId="40" fillId="0" borderId="0" applyNumberFormat="0" applyFill="0" applyBorder="0" applyAlignment="0" applyProtection="0"/>
    <xf numFmtId="0" fontId="41" fillId="0" borderId="7" applyNumberFormat="0" applyFill="0" applyAlignment="0" applyProtection="0"/>
    <xf numFmtId="0" fontId="42" fillId="0" borderId="8" applyNumberFormat="0" applyFill="0" applyAlignment="0" applyProtection="0"/>
    <xf numFmtId="0" fontId="43" fillId="0" borderId="9"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15" applyNumberFormat="0" applyFill="0" applyAlignment="0" applyProtection="0"/>
    <xf numFmtId="0" fontId="55"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55" fillId="38" borderId="0" applyNumberFormat="0" applyBorder="0" applyAlignment="0" applyProtection="0"/>
    <xf numFmtId="0" fontId="3" fillId="0" borderId="0"/>
    <xf numFmtId="0" fontId="3" fillId="14" borderId="14" applyNumberFormat="0" applyFont="0" applyAlignment="0" applyProtection="0"/>
    <xf numFmtId="43" fontId="3" fillId="0" borderId="0" applyFont="0" applyFill="0" applyBorder="0" applyAlignment="0" applyProtection="0"/>
    <xf numFmtId="0" fontId="2" fillId="0" borderId="0"/>
    <xf numFmtId="0" fontId="2" fillId="14" borderId="14" applyNumberFormat="0" applyFont="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 fillId="0" borderId="0"/>
  </cellStyleXfs>
  <cellXfs count="271">
    <xf numFmtId="0" fontId="0" fillId="0" borderId="0" xfId="0"/>
    <xf numFmtId="0" fontId="9" fillId="0" borderId="0" xfId="0" applyFont="1"/>
    <xf numFmtId="0" fontId="7" fillId="0" borderId="0" xfId="0" applyFont="1" applyAlignment="1">
      <alignment horizontal="center"/>
    </xf>
    <xf numFmtId="0" fontId="11" fillId="0" borderId="0" xfId="0" applyFont="1"/>
    <xf numFmtId="0" fontId="13" fillId="0" borderId="0" xfId="0" applyFont="1"/>
    <xf numFmtId="0" fontId="15" fillId="0" borderId="0" xfId="0" applyFont="1" applyAlignment="1">
      <alignment horizontal="left" indent="15"/>
    </xf>
    <xf numFmtId="0" fontId="14" fillId="0" borderId="0" xfId="0" applyFont="1"/>
    <xf numFmtId="0" fontId="8" fillId="0" borderId="0" xfId="0" applyFont="1" applyBorder="1" applyAlignment="1">
      <alignment vertical="top" wrapText="1"/>
    </xf>
    <xf numFmtId="0" fontId="11" fillId="0" borderId="0" xfId="0" applyFont="1" applyBorder="1" applyAlignment="1">
      <alignment vertical="top" wrapText="1"/>
    </xf>
    <xf numFmtId="0" fontId="0" fillId="0" borderId="0" xfId="0" applyBorder="1"/>
    <xf numFmtId="0" fontId="11" fillId="0" borderId="0" xfId="0" applyFont="1" applyBorder="1"/>
    <xf numFmtId="0" fontId="6" fillId="0" borderId="0" xfId="0" applyFont="1"/>
    <xf numFmtId="3" fontId="20" fillId="0" borderId="0" xfId="0" applyNumberFormat="1" applyFont="1" applyBorder="1" applyAlignment="1">
      <alignment horizontal="center"/>
    </xf>
    <xf numFmtId="167" fontId="20" fillId="0" borderId="0" xfId="0" applyNumberFormat="1" applyFont="1" applyBorder="1" applyAlignment="1">
      <alignment horizontal="center"/>
    </xf>
    <xf numFmtId="167" fontId="20" fillId="0" borderId="1" xfId="0" applyNumberFormat="1" applyFont="1" applyBorder="1" applyAlignment="1">
      <alignment horizontal="center"/>
    </xf>
    <xf numFmtId="0" fontId="18" fillId="0" borderId="0" xfId="0" applyFont="1"/>
    <xf numFmtId="164" fontId="18" fillId="0" borderId="0" xfId="0" applyNumberFormat="1" applyFont="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3" fontId="18" fillId="0" borderId="1" xfId="0" applyNumberFormat="1" applyFont="1" applyBorder="1" applyAlignment="1">
      <alignment horizontal="center"/>
    </xf>
    <xf numFmtId="164" fontId="18" fillId="0" borderId="1" xfId="0" applyNumberFormat="1" applyFont="1" applyBorder="1" applyAlignment="1">
      <alignment horizontal="center"/>
    </xf>
    <xf numFmtId="0" fontId="20" fillId="0" borderId="0" xfId="0" applyFont="1" applyBorder="1" applyAlignment="1">
      <alignment horizontal="center"/>
    </xf>
    <xf numFmtId="3" fontId="18" fillId="0" borderId="0" xfId="0" applyNumberFormat="1" applyFont="1" applyBorder="1" applyAlignment="1">
      <alignment horizontal="center"/>
    </xf>
    <xf numFmtId="3" fontId="18" fillId="0" borderId="3" xfId="0" applyNumberFormat="1" applyFont="1" applyBorder="1" applyAlignment="1">
      <alignment horizontal="center"/>
    </xf>
    <xf numFmtId="3" fontId="18" fillId="0" borderId="0" xfId="0" applyNumberFormat="1" applyFont="1"/>
    <xf numFmtId="0" fontId="25" fillId="0" borderId="0" xfId="0" applyFont="1" applyAlignment="1">
      <alignment horizontal="left"/>
    </xf>
    <xf numFmtId="0" fontId="23" fillId="0" borderId="0" xfId="0" applyFont="1" applyAlignment="1">
      <alignment horizontal="left" vertical="center" wrapText="1"/>
    </xf>
    <xf numFmtId="0" fontId="22" fillId="0" borderId="0" xfId="0" applyFont="1" applyBorder="1" applyAlignment="1">
      <alignment horizontal="center"/>
    </xf>
    <xf numFmtId="0" fontId="25" fillId="0" borderId="0" xfId="0" applyFont="1" applyAlignment="1">
      <alignment horizontal="left"/>
    </xf>
    <xf numFmtId="0" fontId="26" fillId="0" borderId="0" xfId="0" applyFont="1" applyAlignment="1">
      <alignment horizontal="left" vertical="top"/>
    </xf>
    <xf numFmtId="0" fontId="25" fillId="0" borderId="0" xfId="0" applyFont="1" applyAlignment="1"/>
    <xf numFmtId="0" fontId="0" fillId="0" borderId="0" xfId="0" applyAlignment="1">
      <alignment horizontal="left"/>
    </xf>
    <xf numFmtId="0" fontId="18" fillId="0" borderId="0" xfId="0" applyFont="1" applyAlignment="1">
      <alignment horizontal="left"/>
    </xf>
    <xf numFmtId="0" fontId="27" fillId="0" borderId="0" xfId="0" applyFont="1" applyAlignment="1">
      <alignment horizontal="left" vertical="center" readingOrder="1"/>
    </xf>
    <xf numFmtId="0" fontId="28" fillId="0" borderId="0" xfId="0" applyFont="1" applyAlignment="1">
      <alignment horizontal="left" vertical="center" readingOrder="1"/>
    </xf>
    <xf numFmtId="0" fontId="21" fillId="0" borderId="0" xfId="0" applyFont="1"/>
    <xf numFmtId="0" fontId="18" fillId="5" borderId="0" xfId="0" applyFont="1" applyFill="1" applyBorder="1" applyAlignment="1">
      <alignment horizontal="right" vertical="center"/>
    </xf>
    <xf numFmtId="166" fontId="18" fillId="5" borderId="0" xfId="1" applyNumberFormat="1" applyFont="1" applyFill="1" applyBorder="1" applyAlignment="1">
      <alignment horizontal="right" vertical="center"/>
    </xf>
    <xf numFmtId="164" fontId="18" fillId="5" borderId="0" xfId="0" applyNumberFormat="1" applyFont="1" applyFill="1" applyBorder="1" applyAlignment="1">
      <alignment horizontal="right" vertical="center"/>
    </xf>
    <xf numFmtId="165" fontId="18" fillId="5" borderId="0" xfId="0" applyNumberFormat="1" applyFont="1" applyFill="1" applyBorder="1" applyAlignment="1">
      <alignment horizontal="right" vertical="center"/>
    </xf>
    <xf numFmtId="165" fontId="18" fillId="5" borderId="0" xfId="1" applyNumberFormat="1" applyFont="1" applyFill="1" applyBorder="1" applyAlignment="1">
      <alignment horizontal="right" vertical="center"/>
    </xf>
    <xf numFmtId="167" fontId="18" fillId="5" borderId="0" xfId="1" applyNumberFormat="1" applyFont="1" applyFill="1" applyBorder="1" applyAlignment="1">
      <alignment horizontal="right" vertical="center"/>
    </xf>
    <xf numFmtId="167" fontId="18" fillId="5" borderId="0" xfId="0" applyNumberFormat="1" applyFont="1" applyFill="1" applyBorder="1" applyAlignment="1">
      <alignment horizontal="right" vertical="center"/>
    </xf>
    <xf numFmtId="3" fontId="18" fillId="5" borderId="0" xfId="1" applyNumberFormat="1" applyFont="1" applyFill="1" applyBorder="1" applyAlignment="1">
      <alignment horizontal="right" vertical="center"/>
    </xf>
    <xf numFmtId="166" fontId="18" fillId="5" borderId="0" xfId="0" applyNumberFormat="1" applyFont="1" applyFill="1" applyBorder="1" applyAlignment="1">
      <alignment horizontal="right" vertical="center"/>
    </xf>
    <xf numFmtId="3" fontId="18" fillId="5" borderId="0" xfId="0" applyNumberFormat="1" applyFont="1" applyFill="1" applyBorder="1" applyAlignment="1">
      <alignment horizontal="right" vertical="center"/>
    </xf>
    <xf numFmtId="168" fontId="18" fillId="5" borderId="0" xfId="0" applyNumberFormat="1" applyFont="1" applyFill="1" applyBorder="1" applyAlignment="1">
      <alignment horizontal="right" vertical="center"/>
    </xf>
    <xf numFmtId="0" fontId="29" fillId="5" borderId="0" xfId="0" applyFont="1" applyFill="1" applyBorder="1" applyAlignment="1">
      <alignment horizontal="left" vertical="top"/>
    </xf>
    <xf numFmtId="3" fontId="18" fillId="3" borderId="6" xfId="10" applyNumberFormat="1" applyFont="1" applyFill="1" applyBorder="1" applyAlignment="1">
      <alignment horizontal="center"/>
    </xf>
    <xf numFmtId="167" fontId="18" fillId="5" borderId="0" xfId="4" applyNumberFormat="1" applyFont="1" applyFill="1" applyBorder="1" applyAlignment="1">
      <alignment horizontal="right" vertical="center"/>
    </xf>
    <xf numFmtId="165" fontId="18" fillId="5" borderId="0" xfId="1" applyNumberFormat="1" applyFont="1" applyFill="1" applyBorder="1" applyAlignment="1">
      <alignment horizontal="center" vertical="center"/>
    </xf>
    <xf numFmtId="165" fontId="18" fillId="5" borderId="0" xfId="0" applyNumberFormat="1" applyFont="1" applyFill="1" applyBorder="1" applyAlignment="1">
      <alignment horizontal="center" vertical="center"/>
    </xf>
    <xf numFmtId="0" fontId="22" fillId="0" borderId="0" xfId="0" applyFont="1"/>
    <xf numFmtId="0" fontId="22" fillId="0" borderId="1" xfId="0" applyFont="1" applyBorder="1"/>
    <xf numFmtId="0" fontId="22" fillId="0" borderId="0" xfId="0" applyFont="1" applyAlignment="1">
      <alignment horizontal="center"/>
    </xf>
    <xf numFmtId="0" fontId="22" fillId="0" borderId="1" xfId="0" applyFont="1" applyBorder="1" applyAlignment="1">
      <alignment horizontal="center"/>
    </xf>
    <xf numFmtId="0" fontId="22" fillId="0" borderId="1" xfId="0" applyFont="1" applyBorder="1" applyAlignment="1">
      <alignment horizontal="center" wrapText="1"/>
    </xf>
    <xf numFmtId="3" fontId="22" fillId="0" borderId="0" xfId="0" applyNumberFormat="1" applyFont="1" applyAlignment="1">
      <alignment horizontal="center"/>
    </xf>
    <xf numFmtId="3" fontId="31" fillId="0" borderId="0" xfId="0" applyNumberFormat="1" applyFont="1" applyAlignment="1">
      <alignment horizontal="center"/>
    </xf>
    <xf numFmtId="3" fontId="31" fillId="0" borderId="1" xfId="0" applyNumberFormat="1" applyFont="1" applyBorder="1" applyAlignment="1">
      <alignment horizontal="center"/>
    </xf>
    <xf numFmtId="0" fontId="31" fillId="0" borderId="0" xfId="0" applyFont="1" applyAlignment="1">
      <alignment horizontal="center"/>
    </xf>
    <xf numFmtId="167" fontId="22" fillId="0" borderId="0" xfId="0" applyNumberFormat="1" applyFont="1" applyAlignment="1">
      <alignment horizontal="center"/>
    </xf>
    <xf numFmtId="164" fontId="31" fillId="0" borderId="0" xfId="0" applyNumberFormat="1" applyFont="1" applyAlignment="1">
      <alignment horizontal="center"/>
    </xf>
    <xf numFmtId="164" fontId="31" fillId="0" borderId="1" xfId="0" applyNumberFormat="1" applyFont="1" applyBorder="1" applyAlignment="1">
      <alignment horizontal="center"/>
    </xf>
    <xf numFmtId="0" fontId="22" fillId="0" borderId="0" xfId="0" applyFont="1" applyBorder="1"/>
    <xf numFmtId="167" fontId="22" fillId="0" borderId="0" xfId="0" applyNumberFormat="1" applyFont="1" applyBorder="1" applyAlignment="1">
      <alignment horizontal="center"/>
    </xf>
    <xf numFmtId="164" fontId="22" fillId="0" borderId="0" xfId="0" applyNumberFormat="1" applyFont="1" applyAlignment="1">
      <alignment horizontal="center"/>
    </xf>
    <xf numFmtId="3" fontId="22" fillId="0" borderId="0" xfId="0" applyNumberFormat="1" applyFont="1" applyBorder="1" applyAlignment="1">
      <alignment horizontal="center"/>
    </xf>
    <xf numFmtId="167" fontId="31" fillId="0" borderId="0" xfId="0" applyNumberFormat="1" applyFont="1" applyBorder="1" applyAlignment="1">
      <alignment horizontal="center"/>
    </xf>
    <xf numFmtId="3" fontId="31" fillId="0" borderId="0" xfId="0" applyNumberFormat="1" applyFont="1" applyBorder="1" applyAlignment="1">
      <alignment horizontal="center"/>
    </xf>
    <xf numFmtId="167" fontId="31" fillId="0" borderId="1" xfId="0" applyNumberFormat="1" applyFont="1" applyBorder="1" applyAlignment="1">
      <alignment horizontal="center"/>
    </xf>
    <xf numFmtId="0" fontId="31" fillId="0" borderId="1" xfId="0" applyFont="1" applyBorder="1" applyAlignment="1">
      <alignment horizontal="center"/>
    </xf>
    <xf numFmtId="169" fontId="31" fillId="0" borderId="0" xfId="1" applyNumberFormat="1" applyFont="1" applyAlignment="1">
      <alignment horizontal="center"/>
    </xf>
    <xf numFmtId="169" fontId="31" fillId="0" borderId="1" xfId="1" applyNumberFormat="1" applyFont="1" applyBorder="1" applyAlignment="1">
      <alignment horizontal="center"/>
    </xf>
    <xf numFmtId="0" fontId="31" fillId="0" borderId="0" xfId="0" applyFont="1"/>
    <xf numFmtId="164" fontId="31" fillId="0" borderId="0" xfId="0" applyNumberFormat="1" applyFont="1" applyBorder="1" applyAlignment="1">
      <alignment horizontal="center"/>
    </xf>
    <xf numFmtId="167" fontId="31" fillId="0" borderId="0" xfId="1" applyNumberFormat="1" applyFont="1" applyAlignment="1">
      <alignment horizontal="center"/>
    </xf>
    <xf numFmtId="167" fontId="31" fillId="0" borderId="1" xfId="1" applyNumberFormat="1" applyFont="1" applyBorder="1" applyAlignment="1">
      <alignment horizontal="center"/>
    </xf>
    <xf numFmtId="167" fontId="31" fillId="0" borderId="0" xfId="0" applyNumberFormat="1" applyFont="1" applyAlignment="1">
      <alignment horizontal="center"/>
    </xf>
    <xf numFmtId="0" fontId="22" fillId="0" borderId="1" xfId="0" applyFont="1" applyFill="1" applyBorder="1" applyAlignment="1">
      <alignment horizontal="center"/>
    </xf>
    <xf numFmtId="167" fontId="22" fillId="0" borderId="0" xfId="0" applyNumberFormat="1" applyFont="1" applyFill="1" applyBorder="1" applyAlignment="1">
      <alignment horizontal="center"/>
    </xf>
    <xf numFmtId="164" fontId="31" fillId="0" borderId="0" xfId="0" applyNumberFormat="1" applyFont="1" applyFill="1" applyAlignment="1">
      <alignment horizontal="center"/>
    </xf>
    <xf numFmtId="164" fontId="31" fillId="0" borderId="1" xfId="0" applyNumberFormat="1" applyFont="1" applyFill="1" applyBorder="1" applyAlignment="1">
      <alignment horizontal="center"/>
    </xf>
    <xf numFmtId="0" fontId="34" fillId="0" borderId="0" xfId="0" applyFont="1" applyBorder="1" applyAlignment="1"/>
    <xf numFmtId="0" fontId="22" fillId="5" borderId="2" xfId="0" applyFont="1" applyFill="1" applyBorder="1" applyAlignment="1">
      <alignment horizontal="right" vertical="center"/>
    </xf>
    <xf numFmtId="0" fontId="34" fillId="0" borderId="0" xfId="0" applyFont="1" applyBorder="1" applyAlignment="1">
      <alignment wrapText="1"/>
    </xf>
    <xf numFmtId="0" fontId="31" fillId="0" borderId="0" xfId="0" applyFont="1" applyBorder="1" applyAlignment="1">
      <alignment horizontal="center"/>
    </xf>
    <xf numFmtId="0" fontId="22" fillId="0" borderId="2" xfId="0" applyFont="1" applyBorder="1" applyAlignment="1">
      <alignment horizontal="center"/>
    </xf>
    <xf numFmtId="0" fontId="22" fillId="0" borderId="2" xfId="0" applyFont="1" applyBorder="1" applyAlignment="1">
      <alignment horizontal="center" wrapText="1"/>
    </xf>
    <xf numFmtId="166" fontId="31" fillId="0" borderId="0" xfId="1" applyNumberFormat="1" applyFont="1" applyAlignment="1">
      <alignment horizontal="center"/>
    </xf>
    <xf numFmtId="166" fontId="31" fillId="0" borderId="0" xfId="0" applyNumberFormat="1" applyFont="1" applyAlignment="1">
      <alignment horizontal="center"/>
    </xf>
    <xf numFmtId="165" fontId="22" fillId="0" borderId="0" xfId="0" applyNumberFormat="1" applyFont="1" applyAlignment="1">
      <alignment horizontal="center"/>
    </xf>
    <xf numFmtId="0" fontId="36" fillId="0" borderId="0" xfId="6" applyFont="1" applyAlignment="1" applyProtection="1"/>
    <xf numFmtId="0" fontId="18" fillId="0" borderId="0" xfId="0" applyFont="1" applyBorder="1" applyAlignment="1">
      <alignment vertical="center"/>
    </xf>
    <xf numFmtId="3" fontId="18" fillId="7" borderId="6" xfId="10" applyNumberFormat="1" applyFont="1" applyFill="1" applyBorder="1" applyAlignment="1">
      <alignment horizontal="center"/>
    </xf>
    <xf numFmtId="165" fontId="18" fillId="7" borderId="0" xfId="0" applyNumberFormat="1" applyFont="1" applyFill="1" applyBorder="1" applyAlignment="1">
      <alignment horizontal="center" vertical="center"/>
    </xf>
    <xf numFmtId="164" fontId="18" fillId="7" borderId="0" xfId="0" applyNumberFormat="1" applyFont="1" applyFill="1" applyBorder="1" applyAlignment="1">
      <alignment horizontal="right"/>
    </xf>
    <xf numFmtId="165" fontId="18" fillId="7" borderId="0" xfId="0" applyNumberFormat="1" applyFont="1" applyFill="1" applyBorder="1" applyAlignment="1">
      <alignment horizontal="right" vertical="center"/>
    </xf>
    <xf numFmtId="167" fontId="18" fillId="7" borderId="0" xfId="0" applyNumberFormat="1" applyFont="1" applyFill="1" applyBorder="1" applyAlignment="1">
      <alignment horizontal="right" vertical="center"/>
    </xf>
    <xf numFmtId="164" fontId="22" fillId="0" borderId="0" xfId="0" applyNumberFormat="1" applyFont="1" applyFill="1" applyBorder="1" applyAlignment="1">
      <alignment horizontal="center"/>
    </xf>
    <xf numFmtId="0" fontId="22" fillId="5" borderId="2" xfId="0" applyFont="1" applyFill="1" applyBorder="1" applyAlignment="1">
      <alignment horizontal="right"/>
    </xf>
    <xf numFmtId="1" fontId="18" fillId="5" borderId="0" xfId="1" applyNumberFormat="1" applyFont="1" applyFill="1" applyBorder="1" applyAlignment="1">
      <alignment horizontal="right" vertical="center"/>
    </xf>
    <xf numFmtId="0" fontId="37" fillId="5" borderId="0" xfId="0" applyFont="1" applyFill="1" applyBorder="1" applyAlignment="1">
      <alignment horizontal="right" vertical="center"/>
    </xf>
    <xf numFmtId="165" fontId="37" fillId="5" borderId="0" xfId="1" applyNumberFormat="1" applyFont="1" applyFill="1" applyBorder="1" applyAlignment="1">
      <alignment horizontal="right"/>
    </xf>
    <xf numFmtId="1" fontId="18" fillId="5" borderId="0" xfId="0" applyNumberFormat="1" applyFont="1" applyFill="1" applyBorder="1" applyAlignment="1">
      <alignment horizontal="right" vertical="center"/>
    </xf>
    <xf numFmtId="1" fontId="18" fillId="5" borderId="0" xfId="4" applyNumberFormat="1" applyFont="1" applyFill="1" applyBorder="1" applyAlignment="1">
      <alignment horizontal="right" vertical="center"/>
    </xf>
    <xf numFmtId="37" fontId="18" fillId="5" borderId="0" xfId="1" applyNumberFormat="1" applyFont="1" applyFill="1" applyBorder="1" applyAlignment="1">
      <alignment horizontal="right" vertical="center"/>
    </xf>
    <xf numFmtId="3" fontId="18" fillId="5" borderId="0" xfId="0" quotePrefix="1" applyNumberFormat="1" applyFont="1" applyFill="1" applyBorder="1" applyAlignment="1">
      <alignment horizontal="right" vertical="center"/>
    </xf>
    <xf numFmtId="0" fontId="37" fillId="5" borderId="0" xfId="0" applyFont="1" applyFill="1" applyBorder="1" applyAlignment="1">
      <alignment horizontal="left"/>
    </xf>
    <xf numFmtId="0" fontId="37" fillId="5" borderId="0" xfId="0" applyFont="1" applyFill="1" applyBorder="1" applyAlignment="1">
      <alignment horizontal="center" vertical="center"/>
    </xf>
    <xf numFmtId="0" fontId="37" fillId="5" borderId="0" xfId="0" applyFont="1" applyFill="1" applyBorder="1"/>
    <xf numFmtId="166" fontId="37" fillId="4" borderId="0" xfId="1" applyNumberFormat="1" applyFont="1" applyFill="1" applyBorder="1" applyAlignment="1">
      <alignment horizontal="right"/>
    </xf>
    <xf numFmtId="1" fontId="37" fillId="5" borderId="0" xfId="0" applyNumberFormat="1" applyFont="1" applyFill="1" applyBorder="1"/>
    <xf numFmtId="3" fontId="37" fillId="5" borderId="0" xfId="0" applyNumberFormat="1" applyFont="1" applyFill="1" applyBorder="1"/>
    <xf numFmtId="164" fontId="37" fillId="5" borderId="0" xfId="0" applyNumberFormat="1" applyFont="1" applyFill="1" applyBorder="1"/>
    <xf numFmtId="167" fontId="37" fillId="5" borderId="0" xfId="0" applyNumberFormat="1" applyFont="1" applyFill="1" applyBorder="1"/>
    <xf numFmtId="166" fontId="37" fillId="5" borderId="0" xfId="1" applyNumberFormat="1" applyFont="1" applyFill="1" applyBorder="1" applyAlignment="1">
      <alignment horizontal="right"/>
    </xf>
    <xf numFmtId="3" fontId="4" fillId="0" borderId="0" xfId="0" applyNumberFormat="1" applyFont="1" applyAlignment="1">
      <alignment horizontal="right" indent="3"/>
    </xf>
    <xf numFmtId="3" fontId="31" fillId="0" borderId="0" xfId="1" applyNumberFormat="1" applyFont="1" applyAlignment="1">
      <alignment horizontal="right"/>
    </xf>
    <xf numFmtId="3" fontId="31" fillId="0" borderId="0" xfId="0" applyNumberFormat="1" applyFont="1" applyAlignment="1">
      <alignment horizontal="right"/>
    </xf>
    <xf numFmtId="3" fontId="31" fillId="0" borderId="1" xfId="1" applyNumberFormat="1" applyFont="1" applyBorder="1" applyAlignment="1">
      <alignment horizontal="right"/>
    </xf>
    <xf numFmtId="3" fontId="31" fillId="0" borderId="1" xfId="0" applyNumberFormat="1" applyFont="1" applyBorder="1" applyAlignment="1">
      <alignment horizontal="right"/>
    </xf>
    <xf numFmtId="3" fontId="22" fillId="0" borderId="0" xfId="0" applyNumberFormat="1" applyFont="1" applyAlignment="1">
      <alignment horizontal="right"/>
    </xf>
    <xf numFmtId="0" fontId="18" fillId="5" borderId="0" xfId="0" applyNumberFormat="1" applyFont="1" applyFill="1" applyBorder="1" applyAlignment="1">
      <alignment horizontal="right" vertical="center"/>
    </xf>
    <xf numFmtId="3" fontId="22" fillId="0" borderId="0" xfId="0" applyNumberFormat="1" applyFont="1" applyBorder="1" applyAlignment="1">
      <alignment horizontal="right" indent="1"/>
    </xf>
    <xf numFmtId="3" fontId="22" fillId="0" borderId="1" xfId="0" applyNumberFormat="1" applyFont="1" applyBorder="1" applyAlignment="1">
      <alignment horizontal="right" indent="1"/>
    </xf>
    <xf numFmtId="1" fontId="18" fillId="7" borderId="6" xfId="10" applyNumberFormat="1" applyFont="1" applyFill="1" applyBorder="1" applyAlignment="1">
      <alignment horizontal="center"/>
    </xf>
    <xf numFmtId="1" fontId="18" fillId="3" borderId="6" xfId="10" applyNumberFormat="1" applyFont="1" applyFill="1" applyBorder="1" applyAlignment="1">
      <alignment horizontal="center"/>
    </xf>
    <xf numFmtId="0" fontId="18" fillId="5" borderId="0" xfId="0" applyFont="1" applyFill="1" applyBorder="1"/>
    <xf numFmtId="0" fontId="18" fillId="6" borderId="0" xfId="0" applyFont="1" applyFill="1" applyBorder="1"/>
    <xf numFmtId="49" fontId="31" fillId="7" borderId="6" xfId="11" applyNumberFormat="1" applyFont="1" applyFill="1" applyBorder="1" applyAlignment="1">
      <alignment horizontal="left" vertical="top" wrapText="1"/>
    </xf>
    <xf numFmtId="0" fontId="31" fillId="7" borderId="0" xfId="0" applyFont="1" applyFill="1" applyBorder="1" applyAlignment="1">
      <alignment horizontal="left" vertical="top"/>
    </xf>
    <xf numFmtId="49" fontId="31" fillId="5" borderId="6" xfId="11" applyNumberFormat="1" applyFont="1" applyFill="1" applyBorder="1" applyAlignment="1">
      <alignment horizontal="left" vertical="top" wrapText="1"/>
    </xf>
    <xf numFmtId="0" fontId="31" fillId="5" borderId="0" xfId="0" applyFont="1" applyFill="1" applyBorder="1" applyAlignment="1">
      <alignment horizontal="left" vertical="top"/>
    </xf>
    <xf numFmtId="49" fontId="31" fillId="0" borderId="6" xfId="11" applyNumberFormat="1" applyFont="1" applyFill="1" applyBorder="1" applyAlignment="1">
      <alignment horizontal="left" vertical="top" wrapText="1"/>
    </xf>
    <xf numFmtId="0" fontId="31" fillId="0" borderId="0" xfId="0" applyFont="1" applyFill="1" applyBorder="1" applyAlignment="1">
      <alignment horizontal="left" vertical="top"/>
    </xf>
    <xf numFmtId="165" fontId="18" fillId="0" borderId="0" xfId="0" applyNumberFormat="1" applyFont="1" applyFill="1" applyBorder="1" applyAlignment="1">
      <alignment horizontal="right" vertical="center"/>
    </xf>
    <xf numFmtId="1" fontId="18" fillId="0" borderId="6" xfId="10" applyNumberFormat="1" applyFont="1" applyFill="1" applyBorder="1" applyAlignment="1">
      <alignment horizontal="center"/>
    </xf>
    <xf numFmtId="3" fontId="18" fillId="0" borderId="6" xfId="10" applyNumberFormat="1" applyFont="1" applyFill="1" applyBorder="1" applyAlignment="1">
      <alignment horizontal="center"/>
    </xf>
    <xf numFmtId="167" fontId="31" fillId="0" borderId="3" xfId="0" applyNumberFormat="1" applyFont="1" applyBorder="1" applyAlignment="1">
      <alignment horizontal="right" indent="1"/>
    </xf>
    <xf numFmtId="167" fontId="22" fillId="0" borderId="0" xfId="0" applyNumberFormat="1" applyFont="1" applyBorder="1" applyAlignment="1">
      <alignment horizontal="right" indent="1"/>
    </xf>
    <xf numFmtId="167" fontId="31" fillId="0" borderId="0" xfId="0" applyNumberFormat="1" applyFont="1" applyBorder="1" applyAlignment="1">
      <alignment horizontal="right" indent="1"/>
    </xf>
    <xf numFmtId="167" fontId="31" fillId="0" borderId="1" xfId="0" applyNumberFormat="1" applyFont="1" applyBorder="1" applyAlignment="1">
      <alignment horizontal="right" indent="1"/>
    </xf>
    <xf numFmtId="167" fontId="22" fillId="0" borderId="1" xfId="0" applyNumberFormat="1" applyFont="1" applyBorder="1" applyAlignment="1">
      <alignment horizontal="right" indent="1"/>
    </xf>
    <xf numFmtId="3" fontId="31" fillId="0" borderId="0" xfId="0" applyNumberFormat="1" applyFont="1" applyAlignment="1">
      <alignment horizontal="right" indent="1"/>
    </xf>
    <xf numFmtId="3" fontId="31" fillId="0" borderId="1" xfId="0" applyNumberFormat="1" applyFont="1" applyBorder="1" applyAlignment="1">
      <alignment horizontal="right" indent="1"/>
    </xf>
    <xf numFmtId="167" fontId="31" fillId="0" borderId="0" xfId="1" applyNumberFormat="1" applyFont="1" applyAlignment="1">
      <alignment horizontal="right" indent="1"/>
    </xf>
    <xf numFmtId="167" fontId="31" fillId="0" borderId="1" xfId="1" applyNumberFormat="1" applyFont="1" applyBorder="1" applyAlignment="1">
      <alignment horizontal="right" indent="1"/>
    </xf>
    <xf numFmtId="3" fontId="31" fillId="0" borderId="0" xfId="0" applyNumberFormat="1" applyFont="1" applyBorder="1" applyAlignment="1">
      <alignment horizontal="right" indent="1"/>
    </xf>
    <xf numFmtId="3" fontId="18" fillId="5" borderId="0" xfId="1" applyNumberFormat="1" applyFont="1" applyFill="1" applyBorder="1" applyAlignment="1">
      <alignment horizontal="right"/>
    </xf>
    <xf numFmtId="3" fontId="18" fillId="5" borderId="0" xfId="0" applyNumberFormat="1" applyFont="1" applyFill="1" applyBorder="1"/>
    <xf numFmtId="3" fontId="4" fillId="0" borderId="0" xfId="0" applyNumberFormat="1" applyFont="1" applyAlignment="1">
      <alignment horizontal="right" indent="2"/>
    </xf>
    <xf numFmtId="3" fontId="18" fillId="7" borderId="6" xfId="10" applyNumberFormat="1" applyFont="1" applyFill="1" applyBorder="1" applyAlignment="1">
      <alignment horizontal="right" indent="2"/>
    </xf>
    <xf numFmtId="3" fontId="18" fillId="0" borderId="6" xfId="10" applyNumberFormat="1" applyFont="1" applyFill="1" applyBorder="1" applyAlignment="1">
      <alignment horizontal="right" indent="2"/>
    </xf>
    <xf numFmtId="3" fontId="18" fillId="3" borderId="6" xfId="10" applyNumberFormat="1" applyFont="1" applyFill="1" applyBorder="1" applyAlignment="1">
      <alignment horizontal="right" indent="2"/>
    </xf>
    <xf numFmtId="3" fontId="4" fillId="0" borderId="0" xfId="0" applyNumberFormat="1" applyFont="1" applyAlignment="1">
      <alignment horizontal="right" indent="1"/>
    </xf>
    <xf numFmtId="3" fontId="18" fillId="7" borderId="6" xfId="10" applyNumberFormat="1" applyFont="1" applyFill="1" applyBorder="1" applyAlignment="1">
      <alignment horizontal="center" vertical="center"/>
    </xf>
    <xf numFmtId="3" fontId="18" fillId="3" borderId="6" xfId="10" applyNumberFormat="1" applyFont="1" applyFill="1" applyBorder="1" applyAlignment="1">
      <alignment horizontal="center" vertical="center"/>
    </xf>
    <xf numFmtId="3" fontId="18" fillId="7"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3" fontId="18" fillId="0" borderId="6" xfId="10" applyNumberFormat="1" applyFont="1" applyFill="1" applyBorder="1" applyAlignment="1">
      <alignment horizontal="center" vertical="center"/>
    </xf>
    <xf numFmtId="169" fontId="18" fillId="5" borderId="0" xfId="1" applyNumberFormat="1" applyFont="1" applyFill="1" applyBorder="1" applyAlignment="1">
      <alignment horizontal="right" vertical="center"/>
    </xf>
    <xf numFmtId="169" fontId="18" fillId="5" borderId="0" xfId="4" applyNumberFormat="1" applyFont="1" applyFill="1" applyBorder="1" applyAlignment="1">
      <alignment horizontal="right" vertical="center"/>
    </xf>
    <xf numFmtId="3" fontId="18" fillId="3" borderId="0" xfId="1" applyNumberFormat="1" applyFont="1" applyFill="1" applyBorder="1" applyAlignment="1">
      <alignment horizontal="right" vertical="center"/>
    </xf>
    <xf numFmtId="165" fontId="18" fillId="0" borderId="0" xfId="0" applyNumberFormat="1" applyFont="1" applyFill="1" applyBorder="1" applyAlignment="1">
      <alignment horizontal="center" vertical="center"/>
    </xf>
    <xf numFmtId="0" fontId="38" fillId="5" borderId="0" xfId="0" applyFont="1" applyFill="1" applyBorder="1" applyAlignment="1">
      <alignment horizontal="left"/>
    </xf>
    <xf numFmtId="0" fontId="38" fillId="6" borderId="0" xfId="0" applyFont="1" applyFill="1" applyBorder="1" applyAlignment="1">
      <alignment horizontal="left"/>
    </xf>
    <xf numFmtId="0" fontId="38" fillId="5" borderId="0" xfId="0" applyFont="1" applyFill="1" applyBorder="1" applyAlignment="1">
      <alignment horizontal="center" vertical="center"/>
    </xf>
    <xf numFmtId="0" fontId="38" fillId="5" borderId="0" xfId="0" applyFont="1" applyFill="1" applyBorder="1" applyAlignment="1">
      <alignment horizontal="right" vertical="center"/>
    </xf>
    <xf numFmtId="0" fontId="39" fillId="3" borderId="2" xfId="0" applyFont="1" applyFill="1" applyBorder="1" applyAlignment="1">
      <alignment horizontal="right" vertical="center"/>
    </xf>
    <xf numFmtId="0" fontId="38" fillId="5" borderId="0" xfId="0" applyFont="1" applyFill="1" applyBorder="1" applyAlignment="1">
      <alignment horizontal="right"/>
    </xf>
    <xf numFmtId="0" fontId="39" fillId="0" borderId="2" xfId="0" applyFont="1" applyFill="1" applyBorder="1" applyAlignment="1">
      <alignment horizontal="right" vertical="center"/>
    </xf>
    <xf numFmtId="0" fontId="38" fillId="4" borderId="0" xfId="0" applyFont="1" applyFill="1" applyBorder="1" applyAlignment="1">
      <alignment horizontal="left"/>
    </xf>
    <xf numFmtId="3" fontId="30" fillId="0" borderId="0" xfId="12" applyNumberFormat="1" applyFont="1"/>
    <xf numFmtId="0" fontId="30" fillId="0" borderId="0" xfId="12" applyFont="1"/>
    <xf numFmtId="164" fontId="18" fillId="0" borderId="0" xfId="0" applyNumberFormat="1" applyFont="1" applyFill="1" applyBorder="1" applyAlignment="1">
      <alignment horizontal="right" vertical="center"/>
    </xf>
    <xf numFmtId="167" fontId="22" fillId="0" borderId="0" xfId="0" applyNumberFormat="1" applyFont="1" applyFill="1" applyAlignment="1">
      <alignment horizontal="center"/>
    </xf>
    <xf numFmtId="169" fontId="31" fillId="0" borderId="1" xfId="1" applyNumberFormat="1" applyFont="1" applyFill="1" applyBorder="1" applyAlignment="1">
      <alignment horizontal="center"/>
    </xf>
    <xf numFmtId="169" fontId="31" fillId="0" borderId="0" xfId="1" applyNumberFormat="1" applyFont="1" applyFill="1" applyAlignment="1">
      <alignment horizontal="center"/>
    </xf>
    <xf numFmtId="167" fontId="22" fillId="0" borderId="1" xfId="0" applyNumberFormat="1" applyFont="1" applyFill="1" applyBorder="1" applyAlignment="1">
      <alignment horizontal="center"/>
    </xf>
    <xf numFmtId="165" fontId="18" fillId="7" borderId="0" xfId="0" applyNumberFormat="1" applyFont="1" applyFill="1" applyBorder="1"/>
    <xf numFmtId="165" fontId="18" fillId="0" borderId="0" xfId="0" applyNumberFormat="1" applyFont="1" applyFill="1" applyBorder="1"/>
    <xf numFmtId="165" fontId="18" fillId="5" borderId="0" xfId="0" applyNumberFormat="1" applyFont="1" applyFill="1" applyBorder="1"/>
    <xf numFmtId="165" fontId="18" fillId="5" borderId="0" xfId="1" applyNumberFormat="1" applyFont="1" applyFill="1" applyBorder="1" applyAlignment="1">
      <alignment horizontal="right"/>
    </xf>
    <xf numFmtId="0" fontId="39" fillId="3" borderId="0" xfId="0" applyFont="1" applyFill="1" applyBorder="1" applyAlignment="1">
      <alignment horizontal="right" vertical="center"/>
    </xf>
    <xf numFmtId="0" fontId="31" fillId="0" borderId="0" xfId="0" applyFont="1" applyFill="1" applyAlignment="1">
      <alignment horizontal="center"/>
    </xf>
    <xf numFmtId="0" fontId="31" fillId="0" borderId="1" xfId="0" applyFont="1" applyFill="1" applyBorder="1" applyAlignment="1">
      <alignment horizontal="center"/>
    </xf>
    <xf numFmtId="3" fontId="22" fillId="0" borderId="0" xfId="0" applyNumberFormat="1" applyFont="1" applyFill="1" applyBorder="1" applyAlignment="1">
      <alignment horizontal="right" indent="1"/>
    </xf>
    <xf numFmtId="3" fontId="31" fillId="0" borderId="0" xfId="0" applyNumberFormat="1" applyFont="1" applyFill="1" applyBorder="1" applyAlignment="1">
      <alignment horizontal="right" indent="1"/>
    </xf>
    <xf numFmtId="3" fontId="31" fillId="0" borderId="1" xfId="0" applyNumberFormat="1" applyFont="1" applyFill="1" applyBorder="1" applyAlignment="1">
      <alignment horizontal="right" indent="1"/>
    </xf>
    <xf numFmtId="44" fontId="30" fillId="0" borderId="0" xfId="4" applyFont="1" applyAlignment="1">
      <alignment horizontal="right"/>
    </xf>
    <xf numFmtId="44" fontId="30" fillId="0" borderId="0" xfId="4" applyFont="1" applyAlignment="1">
      <alignment horizontal="right" wrapText="1"/>
    </xf>
    <xf numFmtId="169" fontId="31" fillId="0" borderId="0" xfId="1" applyNumberFormat="1" applyFont="1" applyBorder="1" applyAlignment="1">
      <alignment horizontal="right" indent="1"/>
    </xf>
    <xf numFmtId="169" fontId="31" fillId="0" borderId="0" xfId="1" applyNumberFormat="1" applyFont="1" applyFill="1" applyBorder="1" applyAlignment="1">
      <alignment horizontal="right" indent="1"/>
    </xf>
    <xf numFmtId="169" fontId="31" fillId="0" borderId="1" xfId="1" applyNumberFormat="1" applyFont="1" applyBorder="1" applyAlignment="1">
      <alignment horizontal="right" indent="1"/>
    </xf>
    <xf numFmtId="169" fontId="31" fillId="0" borderId="1" xfId="1" applyNumberFormat="1" applyFont="1" applyFill="1" applyBorder="1" applyAlignment="1">
      <alignment horizontal="right" indent="1"/>
    </xf>
    <xf numFmtId="167" fontId="18" fillId="0" borderId="0" xfId="0" applyNumberFormat="1" applyFont="1" applyFill="1" applyBorder="1" applyAlignment="1">
      <alignment horizontal="right" vertical="center"/>
    </xf>
    <xf numFmtId="166" fontId="18" fillId="3" borderId="0" xfId="1" applyNumberFormat="1" applyFont="1" applyFill="1" applyBorder="1" applyAlignment="1">
      <alignment horizontal="right" vertical="center"/>
    </xf>
    <xf numFmtId="165" fontId="18" fillId="0" borderId="0" xfId="1" applyNumberFormat="1" applyFont="1" applyFill="1" applyBorder="1" applyAlignment="1">
      <alignment horizontal="right" vertical="center"/>
    </xf>
    <xf numFmtId="167" fontId="22" fillId="0" borderId="0" xfId="0" applyNumberFormat="1" applyFont="1" applyFill="1" applyBorder="1" applyAlignment="1">
      <alignment horizontal="right" indent="2"/>
    </xf>
    <xf numFmtId="164" fontId="31" fillId="0" borderId="0" xfId="0" applyNumberFormat="1" applyFont="1" applyAlignment="1">
      <alignment horizontal="right" indent="2"/>
    </xf>
    <xf numFmtId="164" fontId="31" fillId="0" borderId="0" xfId="0" applyNumberFormat="1" applyFont="1" applyFill="1" applyAlignment="1">
      <alignment horizontal="right" indent="2"/>
    </xf>
    <xf numFmtId="164" fontId="31" fillId="0" borderId="1" xfId="0" applyNumberFormat="1" applyFont="1" applyBorder="1" applyAlignment="1">
      <alignment horizontal="right" indent="2"/>
    </xf>
    <xf numFmtId="164" fontId="31" fillId="0" borderId="1" xfId="0" applyNumberFormat="1" applyFont="1" applyFill="1" applyBorder="1" applyAlignment="1">
      <alignment horizontal="right" indent="2"/>
    </xf>
    <xf numFmtId="164" fontId="31" fillId="0" borderId="0" xfId="0" applyNumberFormat="1" applyFont="1" applyFill="1" applyBorder="1" applyAlignment="1">
      <alignment horizontal="right" indent="2"/>
    </xf>
    <xf numFmtId="164" fontId="31" fillId="0" borderId="0" xfId="1" applyNumberFormat="1" applyFont="1" applyAlignment="1">
      <alignment horizontal="right" indent="2"/>
    </xf>
    <xf numFmtId="164" fontId="31" fillId="0" borderId="0" xfId="1" applyNumberFormat="1" applyFont="1" applyFill="1" applyAlignment="1">
      <alignment horizontal="right" indent="2"/>
    </xf>
    <xf numFmtId="164" fontId="31" fillId="0" borderId="1" xfId="1" applyNumberFormat="1" applyFont="1" applyBorder="1" applyAlignment="1">
      <alignment horizontal="right" indent="2"/>
    </xf>
    <xf numFmtId="164" fontId="31" fillId="0" borderId="1" xfId="1" applyNumberFormat="1" applyFont="1" applyFill="1" applyBorder="1" applyAlignment="1">
      <alignment horizontal="right" indent="2"/>
    </xf>
    <xf numFmtId="164" fontId="22" fillId="0" borderId="0" xfId="0" applyNumberFormat="1" applyFont="1" applyBorder="1" applyAlignment="1">
      <alignment horizontal="right" indent="2"/>
    </xf>
    <xf numFmtId="164" fontId="22" fillId="0" borderId="0" xfId="0" applyNumberFormat="1" applyFont="1" applyFill="1" applyBorder="1" applyAlignment="1">
      <alignment horizontal="right" indent="2"/>
    </xf>
    <xf numFmtId="3" fontId="18" fillId="5" borderId="0" xfId="0" quotePrefix="1" applyNumberFormat="1" applyFont="1" applyFill="1" applyBorder="1"/>
    <xf numFmtId="167" fontId="18" fillId="5" borderId="0" xfId="0" applyNumberFormat="1" applyFont="1" applyFill="1" applyBorder="1"/>
    <xf numFmtId="166" fontId="18" fillId="5" borderId="0" xfId="1" applyNumberFormat="1" applyFont="1" applyFill="1" applyBorder="1"/>
    <xf numFmtId="0" fontId="37" fillId="4" borderId="0" xfId="0" applyFont="1" applyFill="1" applyBorder="1" applyAlignment="1">
      <alignment horizontal="left"/>
    </xf>
    <xf numFmtId="0" fontId="18" fillId="5" borderId="0" xfId="0" applyFont="1" applyFill="1" applyBorder="1" applyAlignment="1">
      <alignment horizontal="center" vertical="center"/>
    </xf>
    <xf numFmtId="0" fontId="37" fillId="6" borderId="0" xfId="0" applyFont="1" applyFill="1" applyBorder="1" applyAlignment="1">
      <alignment horizontal="left"/>
    </xf>
    <xf numFmtId="167" fontId="18" fillId="7" borderId="0" xfId="0" applyNumberFormat="1" applyFont="1" applyFill="1" applyBorder="1"/>
    <xf numFmtId="0" fontId="18" fillId="7" borderId="0" xfId="0" applyFont="1" applyFill="1" applyBorder="1"/>
    <xf numFmtId="3" fontId="18" fillId="7" borderId="0" xfId="0" applyNumberFormat="1" applyFont="1" applyFill="1" applyBorder="1"/>
    <xf numFmtId="164" fontId="18" fillId="7" borderId="0" xfId="0" applyNumberFormat="1" applyFont="1" applyFill="1" applyBorder="1"/>
    <xf numFmtId="166" fontId="18" fillId="7" borderId="0" xfId="1" applyNumberFormat="1" applyFont="1" applyFill="1" applyBorder="1" applyAlignment="1">
      <alignment horizontal="right"/>
    </xf>
    <xf numFmtId="167" fontId="18" fillId="0" borderId="0" xfId="0" applyNumberFormat="1" applyFont="1" applyFill="1" applyBorder="1"/>
    <xf numFmtId="0" fontId="18" fillId="0" borderId="0" xfId="0" applyFont="1" applyFill="1" applyBorder="1"/>
    <xf numFmtId="3" fontId="18" fillId="0" borderId="0" xfId="0" applyNumberFormat="1" applyFont="1" applyFill="1" applyBorder="1"/>
    <xf numFmtId="164" fontId="18" fillId="0" borderId="0" xfId="0" applyNumberFormat="1" applyFont="1" applyFill="1" applyBorder="1"/>
    <xf numFmtId="166" fontId="18" fillId="0" borderId="0" xfId="1" applyNumberFormat="1" applyFont="1" applyFill="1" applyBorder="1" applyAlignment="1">
      <alignment horizontal="right"/>
    </xf>
    <xf numFmtId="164" fontId="18" fillId="5" borderId="0" xfId="0" applyNumberFormat="1" applyFont="1" applyFill="1" applyBorder="1"/>
    <xf numFmtId="166" fontId="18" fillId="5" borderId="0" xfId="1" applyNumberFormat="1" applyFont="1" applyFill="1" applyBorder="1" applyAlignment="1">
      <alignment horizontal="right"/>
    </xf>
    <xf numFmtId="3" fontId="18" fillId="5" borderId="0" xfId="0" quotePrefix="1" applyNumberFormat="1" applyFont="1" applyFill="1" applyBorder="1" applyAlignment="1">
      <alignment horizontal="center" vertical="center"/>
    </xf>
    <xf numFmtId="3" fontId="18" fillId="5" borderId="0" xfId="0" applyNumberFormat="1" applyFont="1" applyFill="1" applyBorder="1" applyAlignment="1">
      <alignment horizontal="center" vertical="center"/>
    </xf>
    <xf numFmtId="166" fontId="18" fillId="5" borderId="0" xfId="0" applyNumberFormat="1" applyFont="1" applyFill="1" applyBorder="1" applyAlignment="1">
      <alignment horizontal="center" vertical="center"/>
    </xf>
    <xf numFmtId="1" fontId="18" fillId="5" borderId="0" xfId="0" applyNumberFormat="1" applyFont="1" applyFill="1" applyBorder="1"/>
    <xf numFmtId="166" fontId="18" fillId="5" borderId="0" xfId="0" applyNumberFormat="1" applyFont="1" applyFill="1" applyBorder="1"/>
    <xf numFmtId="167" fontId="18" fillId="5" borderId="0" xfId="0" applyNumberFormat="1" applyFont="1" applyFill="1" applyBorder="1" applyAlignment="1">
      <alignment horizontal="center" vertical="center"/>
    </xf>
    <xf numFmtId="166" fontId="18" fillId="5" borderId="0" xfId="1" applyNumberFormat="1" applyFont="1" applyFill="1" applyBorder="1" applyAlignment="1">
      <alignment horizontal="center" vertical="center"/>
    </xf>
    <xf numFmtId="165" fontId="18" fillId="7" borderId="0" xfId="1" applyNumberFormat="1" applyFont="1" applyFill="1" applyBorder="1" applyAlignment="1">
      <alignment horizontal="right" vertical="center"/>
    </xf>
    <xf numFmtId="0" fontId="38" fillId="0" borderId="0" xfId="0" applyFont="1" applyFill="1" applyBorder="1" applyAlignment="1">
      <alignment horizontal="right" vertical="center"/>
    </xf>
    <xf numFmtId="0" fontId="57" fillId="0" borderId="0" xfId="0" applyFont="1" applyAlignment="1">
      <alignment horizontal="center"/>
    </xf>
    <xf numFmtId="0" fontId="31" fillId="0" borderId="0" xfId="0" applyFont="1" applyAlignment="1">
      <alignment horizontal="left"/>
    </xf>
    <xf numFmtId="0" fontId="18" fillId="0" borderId="0" xfId="0" applyFont="1" applyFill="1" applyBorder="1" applyAlignment="1">
      <alignment horizontal="right" vertical="center"/>
    </xf>
    <xf numFmtId="0" fontId="18" fillId="5" borderId="0" xfId="0" applyFont="1" applyFill="1" applyBorder="1" applyAlignment="1">
      <alignment horizontal="center" vertical="center"/>
    </xf>
    <xf numFmtId="3" fontId="18" fillId="0" borderId="0" xfId="1" applyNumberFormat="1" applyFont="1" applyFill="1" applyBorder="1" applyAlignment="1">
      <alignment horizontal="right" vertical="center"/>
    </xf>
    <xf numFmtId="166" fontId="18" fillId="0" borderId="0" xfId="1" applyNumberFormat="1" applyFont="1" applyFill="1" applyBorder="1" applyAlignment="1">
      <alignment horizontal="right" vertical="center"/>
    </xf>
    <xf numFmtId="0" fontId="18" fillId="6" borderId="0" xfId="0" applyFont="1" applyFill="1" applyBorder="1" applyAlignment="1">
      <alignment horizontal="center" vertical="center"/>
    </xf>
    <xf numFmtId="0" fontId="18" fillId="5" borderId="0" xfId="0" applyFont="1" applyFill="1" applyBorder="1" applyAlignment="1">
      <alignment horizontal="center" vertical="center"/>
    </xf>
    <xf numFmtId="0" fontId="18" fillId="5" borderId="0"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5" borderId="0" xfId="0" applyFont="1" applyFill="1" applyBorder="1" applyAlignment="1">
      <alignment horizontal="center"/>
    </xf>
    <xf numFmtId="0" fontId="37" fillId="4" borderId="0" xfId="0" applyFont="1" applyFill="1" applyBorder="1" applyAlignment="1">
      <alignment horizontal="left"/>
    </xf>
    <xf numFmtId="0" fontId="5" fillId="0" borderId="0" xfId="6" applyAlignment="1" applyProtection="1">
      <alignment horizontal="center"/>
    </xf>
    <xf numFmtId="0" fontId="16" fillId="0" borderId="0" xfId="0" applyFont="1" applyAlignment="1">
      <alignment horizontal="left" vertical="top" wrapText="1"/>
    </xf>
    <xf numFmtId="0" fontId="10" fillId="0" borderId="0" xfId="0" applyFont="1" applyAlignment="1">
      <alignment horizontal="left" vertical="top" wrapText="1"/>
    </xf>
    <xf numFmtId="49" fontId="11" fillId="0" borderId="0" xfId="0" applyNumberFormat="1" applyFont="1" applyAlignment="1">
      <alignment horizontal="center"/>
    </xf>
    <xf numFmtId="0" fontId="11" fillId="0" borderId="0" xfId="0" applyFont="1" applyAlignment="1">
      <alignment horizontal="center"/>
    </xf>
    <xf numFmtId="0" fontId="13" fillId="0" borderId="0" xfId="0" applyFont="1" applyBorder="1" applyAlignment="1">
      <alignment vertical="top" wrapText="1"/>
    </xf>
    <xf numFmtId="0" fontId="24" fillId="0" borderId="0" xfId="0" applyFont="1" applyBorder="1" applyAlignment="1">
      <alignment horizontal="left" vertical="center" wrapText="1"/>
    </xf>
    <xf numFmtId="0" fontId="23" fillId="0" borderId="0" xfId="0" applyFont="1" applyBorder="1" applyAlignment="1">
      <alignment horizontal="left" vertical="center" wrapText="1"/>
    </xf>
    <xf numFmtId="0" fontId="23" fillId="0" borderId="1" xfId="0" applyFont="1" applyBorder="1" applyAlignment="1">
      <alignment horizontal="left" vertical="center" wrapText="1"/>
    </xf>
    <xf numFmtId="0" fontId="34" fillId="0" borderId="0" xfId="0" applyFont="1" applyBorder="1" applyAlignment="1">
      <alignment horizontal="center" wrapText="1"/>
    </xf>
    <xf numFmtId="0" fontId="34" fillId="0" borderId="0" xfId="0" applyFont="1" applyBorder="1" applyAlignment="1">
      <alignment horizontal="center"/>
    </xf>
    <xf numFmtId="0" fontId="34" fillId="0" borderId="1" xfId="0" applyFont="1" applyBorder="1" applyAlignment="1">
      <alignment horizontal="center"/>
    </xf>
    <xf numFmtId="0" fontId="21" fillId="2" borderId="4" xfId="0" applyFont="1" applyFill="1" applyBorder="1" applyAlignment="1">
      <alignment horizontal="left"/>
    </xf>
    <xf numFmtId="0" fontId="0" fillId="0" borderId="2" xfId="0" applyBorder="1" applyAlignment="1">
      <alignment horizontal="left"/>
    </xf>
    <xf numFmtId="0" fontId="0" fillId="0" borderId="5" xfId="0" applyBorder="1" applyAlignment="1">
      <alignment horizontal="left"/>
    </xf>
    <xf numFmtId="0" fontId="21" fillId="2" borderId="2" xfId="0" applyFont="1" applyFill="1" applyBorder="1" applyAlignment="1">
      <alignment horizontal="left"/>
    </xf>
    <xf numFmtId="0" fontId="21" fillId="2" borderId="5" xfId="0" applyFont="1" applyFill="1" applyBorder="1" applyAlignment="1">
      <alignment horizontal="left"/>
    </xf>
    <xf numFmtId="0" fontId="34" fillId="4" borderId="0" xfId="0" applyFont="1" applyFill="1" applyAlignment="1">
      <alignment horizontal="center"/>
    </xf>
    <xf numFmtId="0" fontId="34" fillId="4" borderId="0" xfId="0" applyFont="1" applyFill="1" applyBorder="1" applyAlignment="1">
      <alignment horizontal="center"/>
    </xf>
    <xf numFmtId="0" fontId="34" fillId="0" borderId="1" xfId="0" applyFont="1" applyBorder="1" applyAlignment="1">
      <alignment horizontal="center" wrapText="1"/>
    </xf>
    <xf numFmtId="0" fontId="34" fillId="0" borderId="1" xfId="0" applyFont="1" applyFill="1" applyBorder="1" applyAlignment="1">
      <alignment horizontal="center"/>
    </xf>
  </cellXfs>
  <cellStyles count="79">
    <cellStyle name="20% - Accent1" xfId="38" builtinId="30" customBuiltin="1"/>
    <cellStyle name="20% - Accent1 2" xfId="66"/>
    <cellStyle name="20% - Accent2" xfId="42" builtinId="34" customBuiltin="1"/>
    <cellStyle name="20% - Accent2 2" xfId="68"/>
    <cellStyle name="20% - Accent3" xfId="46" builtinId="38" customBuiltin="1"/>
    <cellStyle name="20% - Accent3 2" xfId="70"/>
    <cellStyle name="20% - Accent4" xfId="50" builtinId="42" customBuiltin="1"/>
    <cellStyle name="20% - Accent4 2" xfId="72"/>
    <cellStyle name="20% - Accent5" xfId="54" builtinId="46" customBuiltin="1"/>
    <cellStyle name="20% - Accent5 2" xfId="74"/>
    <cellStyle name="20% - Accent6" xfId="58" builtinId="50" customBuiltin="1"/>
    <cellStyle name="20% - Accent6 2" xfId="76"/>
    <cellStyle name="40% - Accent1" xfId="39" builtinId="31" customBuiltin="1"/>
    <cellStyle name="40% - Accent1 2" xfId="67"/>
    <cellStyle name="40% - Accent2" xfId="43" builtinId="35" customBuiltin="1"/>
    <cellStyle name="40% - Accent2 2" xfId="69"/>
    <cellStyle name="40% - Accent3" xfId="47" builtinId="39" customBuiltin="1"/>
    <cellStyle name="40% - Accent3 2" xfId="71"/>
    <cellStyle name="40% - Accent4" xfId="51" builtinId="43" customBuiltin="1"/>
    <cellStyle name="40% - Accent4 2" xfId="73"/>
    <cellStyle name="40% - Accent5" xfId="55" builtinId="47" customBuiltin="1"/>
    <cellStyle name="40% - Accent5 2" xfId="75"/>
    <cellStyle name="40% - Accent6" xfId="59" builtinId="51" customBuiltin="1"/>
    <cellStyle name="40% - Accent6 2" xfId="77"/>
    <cellStyle name="60% - Accent1" xfId="40" builtinId="32" customBuiltin="1"/>
    <cellStyle name="60% - Accent2" xfId="44" builtinId="36" customBuiltin="1"/>
    <cellStyle name="60% - Accent3" xfId="48" builtinId="40" customBuiltin="1"/>
    <cellStyle name="60% - Accent4" xfId="52" builtinId="44" customBuiltin="1"/>
    <cellStyle name="60% - Accent5" xfId="56" builtinId="48" customBuiltin="1"/>
    <cellStyle name="60% - Accent6" xfId="60" builtinId="52" customBuiltin="1"/>
    <cellStyle name="Accent1" xfId="37" builtinId="29" customBuiltin="1"/>
    <cellStyle name="Accent2" xfId="41" builtinId="33" customBuiltin="1"/>
    <cellStyle name="Accent3" xfId="45" builtinId="37" customBuiltin="1"/>
    <cellStyle name="Accent4" xfId="49" builtinId="41" customBuiltin="1"/>
    <cellStyle name="Accent5" xfId="53" builtinId="45" customBuiltin="1"/>
    <cellStyle name="Accent6" xfId="57" builtinId="49" customBuiltin="1"/>
    <cellStyle name="Bad" xfId="27" builtinId="27" customBuiltin="1"/>
    <cellStyle name="Calculation" xfId="31" builtinId="22" customBuiltin="1"/>
    <cellStyle name="Check Cell" xfId="33" builtinId="23" customBuiltin="1"/>
    <cellStyle name="Comma" xfId="1" builtinId="3"/>
    <cellStyle name="Comma 2" xfId="2"/>
    <cellStyle name="Comma 2 2" xfId="15"/>
    <cellStyle name="Comma 3" xfId="3"/>
    <cellStyle name="Comma 3 2" xfId="16"/>
    <cellStyle name="Comma 4" xfId="14"/>
    <cellStyle name="Comma 5" xfId="63"/>
    <cellStyle name="Currency" xfId="4" builtinId="4"/>
    <cellStyle name="Currency 2" xfId="5"/>
    <cellStyle name="Currency 2 2" xfId="18"/>
    <cellStyle name="Currency 3" xfId="17"/>
    <cellStyle name="Explanatory Text" xfId="35" builtinId="53" customBuiltin="1"/>
    <cellStyle name="Good" xfId="26" builtinId="26" customBuiltin="1"/>
    <cellStyle name="Heading 1" xfId="22" builtinId="16" customBuiltin="1"/>
    <cellStyle name="Heading 2" xfId="23" builtinId="17" customBuiltin="1"/>
    <cellStyle name="Heading 3" xfId="24" builtinId="18" customBuiltin="1"/>
    <cellStyle name="Heading 4" xfId="25" builtinId="19" customBuiltin="1"/>
    <cellStyle name="Hyperlink" xfId="6" builtinId="8"/>
    <cellStyle name="Hyperlink 2" xfId="7"/>
    <cellStyle name="Hyperlink 3" xfId="19"/>
    <cellStyle name="Input" xfId="29" builtinId="20" customBuiltin="1"/>
    <cellStyle name="Linked Cell" xfId="32" builtinId="24" customBuiltin="1"/>
    <cellStyle name="Neutral" xfId="28" builtinId="28" customBuiltin="1"/>
    <cellStyle name="Normal" xfId="0" builtinId="0"/>
    <cellStyle name="Normal 2" xfId="8"/>
    <cellStyle name="Normal 2 2" xfId="20"/>
    <cellStyle name="Normal 3" xfId="9"/>
    <cellStyle name="Normal 4" xfId="13"/>
    <cellStyle name="Normal 5" xfId="12"/>
    <cellStyle name="Normal 6" xfId="61"/>
    <cellStyle name="Normal 7" xfId="64"/>
    <cellStyle name="Normal 8" xfId="78"/>
    <cellStyle name="Normal_ademog07" xfId="10"/>
    <cellStyle name="Normal_MedAsst" xfId="11"/>
    <cellStyle name="Note 2" xfId="62"/>
    <cellStyle name="Note 3" xfId="65"/>
    <cellStyle name="Output" xfId="30" builtinId="21" customBuiltin="1"/>
    <cellStyle name="Title" xfId="21" builtinId="15" customBuiltin="1"/>
    <cellStyle name="Total" xfId="36" builtinId="25" customBuiltin="1"/>
    <cellStyle name="Warning Text" xfId="34"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73</xdr:col>
      <xdr:colOff>352425</xdr:colOff>
      <xdr:row>116</xdr:row>
      <xdr:rowOff>28575</xdr:rowOff>
    </xdr:from>
    <xdr:to>
      <xdr:col>77</xdr:col>
      <xdr:colOff>916080</xdr:colOff>
      <xdr:row>158</xdr:row>
      <xdr:rowOff>47625</xdr:rowOff>
    </xdr:to>
    <xdr:sp macro="" textlink="">
      <xdr:nvSpPr>
        <xdr:cNvPr id="1025" name="Text Box 1"/>
        <xdr:cNvSpPr txBox="1">
          <a:spLocks noChangeArrowheads="1"/>
        </xdr:cNvSpPr>
      </xdr:nvSpPr>
      <xdr:spPr bwMode="auto">
        <a:xfrm>
          <a:off x="42672000" y="21145500"/>
          <a:ext cx="4400550" cy="6819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a:cs typeface="Times New Roman"/>
            </a:rPr>
            <a:t>#6  K12 Enrollment:</a:t>
          </a:r>
        </a:p>
        <a:p>
          <a:pPr algn="l" rtl="0">
            <a:defRPr sz="1000"/>
          </a:pPr>
          <a:r>
            <a:rPr lang="en-US" sz="1000" b="0" i="0" u="none" strike="noStrike" baseline="0">
              <a:solidFill>
                <a:srgbClr val="000000"/>
              </a:solidFill>
              <a:latin typeface="Times New Roman"/>
              <a:cs typeface="Times New Roman"/>
            </a:rPr>
            <a:t>Included in these counts are students who were enrolled over October 1 of the school year. Only grade Kindergarten through grade 12 are included in the counts. </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Excluded from the counts are shared-time students, adult students, and students attending in other states or nonpublic schools for care and treatment purposes. (In the MARSS reporting system, these are students with State Aid Categories of 14, 16, 17, 18, 24, 25, 28, 98). Dual enrolled students are counted only once, usually at the regular school of enrollment.</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#11 PK12 Enrollment:</a:t>
          </a:r>
        </a:p>
        <a:p>
          <a:pPr algn="l" rtl="0">
            <a:defRPr sz="1000"/>
          </a:pPr>
          <a:r>
            <a:rPr lang="en-US" sz="1000" b="0" i="0" u="none" strike="noStrike" baseline="0">
              <a:solidFill>
                <a:srgbClr val="000000"/>
              </a:solidFill>
              <a:latin typeface="Times New Roman"/>
              <a:cs typeface="Times New Roman"/>
            </a:rPr>
            <a:t>Included in these counts are students who were enrolled over October 1 of the school year. Grade Pre-kindergarten through grade 12 are included in the counts.</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Excluded from the counts are shared-time students, adult students, and students attending in other states or nonpublic schools for care and treatment purposes. (In the MARSS reporting system, these are students with State Aid Categories of 14, 16, 17, 18, 24, 25,</a:t>
          </a:r>
        </a:p>
        <a:p>
          <a:pPr algn="l" rtl="0">
            <a:defRPr sz="1000"/>
          </a:pPr>
          <a:r>
            <a:rPr lang="en-US" sz="1000" b="0" i="0" u="none" strike="noStrike" baseline="0">
              <a:solidFill>
                <a:srgbClr val="000000"/>
              </a:solidFill>
              <a:latin typeface="Times New Roman"/>
              <a:cs typeface="Times New Roman"/>
            </a:rPr>
            <a:t> 28, 98). Dual enrolled students are counted only once, usually at the regular school of enrollment.</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#12 PK12 Free Meal Eligible</a:t>
          </a:r>
        </a:p>
        <a:p>
          <a:pPr algn="l" rtl="0">
            <a:defRPr sz="1000"/>
          </a:pPr>
          <a:r>
            <a:rPr lang="en-US" sz="1000" b="0" i="0" u="none" strike="noStrike" baseline="0">
              <a:solidFill>
                <a:srgbClr val="000000"/>
              </a:solidFill>
              <a:latin typeface="Times New Roman"/>
              <a:cs typeface="Times New Roman"/>
            </a:rPr>
            <a:t>The number of Grade PK12 students eligible to participate in the Free Lunch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#13 PK12 Reduced Priced Meal Eligible</a:t>
          </a:r>
        </a:p>
        <a:p>
          <a:pPr algn="l" rtl="0">
            <a:defRPr sz="1000"/>
          </a:pPr>
          <a:r>
            <a:rPr lang="en-US" sz="1000" b="0" i="0" u="none" strike="noStrike" baseline="0">
              <a:solidFill>
                <a:srgbClr val="000000"/>
              </a:solidFill>
              <a:latin typeface="Times New Roman"/>
              <a:cs typeface="Times New Roman"/>
            </a:rPr>
            <a:t>The number of Grade PK12 students eligible to participate in the Reduced Priced Lunch Program enrolled over October 1 of the school year.</a:t>
          </a:r>
        </a:p>
        <a:p>
          <a:pPr algn="l" rtl="0">
            <a:defRPr sz="1000"/>
          </a:pPr>
          <a:r>
            <a:rPr lang="en-US" sz="1000" b="0" i="0" u="none" strike="noStrike" baseline="0">
              <a:solidFill>
                <a:srgbClr val="000000"/>
              </a:solidFill>
              <a:latin typeface="Times New Roman"/>
              <a:cs typeface="Times New Roman"/>
            </a:rPr>
            <a:t> </a:t>
          </a:r>
        </a:p>
        <a:p>
          <a:pPr algn="l" rtl="0">
            <a:defRPr sz="1000"/>
          </a:pPr>
          <a:r>
            <a:rPr lang="en-US" sz="1000" b="0" i="0" u="none" strike="noStrike" baseline="0">
              <a:solidFill>
                <a:srgbClr val="000000"/>
              </a:solidFill>
              <a:latin typeface="Times New Roman"/>
              <a:cs typeface="Times New Roman"/>
            </a:rPr>
            <a:t>#14 PK12 Limited English Proficient</a:t>
          </a:r>
        </a:p>
        <a:p>
          <a:pPr algn="l" rtl="0">
            <a:defRPr sz="1000"/>
          </a:pPr>
          <a:r>
            <a:rPr lang="en-US" sz="1000" b="0" i="0" u="none" strike="noStrike" baseline="0">
              <a:solidFill>
                <a:srgbClr val="000000"/>
              </a:solidFill>
              <a:latin typeface="Times New Roman"/>
              <a:cs typeface="Times New Roman"/>
            </a:rPr>
            <a:t>The number of Grade PK12 students participating in a Limited English Proficient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#15 PK12 Special Education</a:t>
          </a:r>
        </a:p>
        <a:p>
          <a:pPr algn="l" rtl="0">
            <a:defRPr sz="1000"/>
          </a:pPr>
          <a:r>
            <a:rPr lang="en-US" sz="1000" b="0" i="0" u="none" strike="noStrike" baseline="0">
              <a:solidFill>
                <a:srgbClr val="000000"/>
              </a:solidFill>
              <a:latin typeface="Times New Roman"/>
              <a:cs typeface="Times New Roman"/>
            </a:rPr>
            <a:t>The number of Grade PK12 students participating in a Special Education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xdr:txBody>
    </xdr:sp>
    <xdr:clientData/>
  </xdr:twoCellAnchor>
  <xdr:oneCellAnchor>
    <xdr:from>
      <xdr:col>1</xdr:col>
      <xdr:colOff>1296865</xdr:colOff>
      <xdr:row>7</xdr:row>
      <xdr:rowOff>111628</xdr:rowOff>
    </xdr:from>
    <xdr:ext cx="1333500" cy="953466"/>
    <xdr:sp macro="" textlink="">
      <xdr:nvSpPr>
        <xdr:cNvPr id="2" name="TextBox 1"/>
        <xdr:cNvSpPr txBox="1"/>
      </xdr:nvSpPr>
      <xdr:spPr>
        <a:xfrm>
          <a:off x="1802423" y="1496416"/>
          <a:ext cx="1333500"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There are extra cells for new data located on cell R324 in Trends worksheet.</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38099</xdr:colOff>
      <xdr:row>2</xdr:row>
      <xdr:rowOff>142874</xdr:rowOff>
    </xdr:from>
    <xdr:to>
      <xdr:col>11</xdr:col>
      <xdr:colOff>324970</xdr:colOff>
      <xdr:row>11</xdr:row>
      <xdr:rowOff>123824</xdr:rowOff>
    </xdr:to>
    <xdr:sp macro="" textlink="">
      <xdr:nvSpPr>
        <xdr:cNvPr id="6" name="Text Box 37"/>
        <xdr:cNvSpPr txBox="1">
          <a:spLocks noChangeArrowheads="1"/>
        </xdr:cNvSpPr>
      </xdr:nvSpPr>
      <xdr:spPr bwMode="auto">
        <a:xfrm>
          <a:off x="38099" y="542924"/>
          <a:ext cx="6154271" cy="1933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41148" rIns="54864" bIns="0" anchor="t" upright="1"/>
        <a:lstStyle/>
        <a:p>
          <a:pPr algn="r" rtl="0">
            <a:defRPr sz="1000"/>
          </a:pPr>
          <a:r>
            <a:rPr lang="en-US" sz="2200" b="0" i="0" u="none" strike="noStrike" baseline="0">
              <a:solidFill>
                <a:srgbClr val="000000"/>
              </a:solidFill>
              <a:latin typeface="Eras Demi ITC"/>
            </a:rPr>
            <a:t>Minnesota </a:t>
          </a:r>
        </a:p>
        <a:p>
          <a:pPr algn="r" rtl="0">
            <a:defRPr sz="1000"/>
          </a:pPr>
          <a:r>
            <a:rPr lang="en-US" sz="2200" b="0" i="0" u="none" strike="noStrike" baseline="0">
              <a:solidFill>
                <a:srgbClr val="000000"/>
              </a:solidFill>
              <a:latin typeface="Eras Demi ITC"/>
            </a:rPr>
            <a:t>State, County, and Community Health Board </a:t>
          </a:r>
        </a:p>
        <a:p>
          <a:pPr algn="r" rtl="0">
            <a:defRPr sz="1000"/>
          </a:pPr>
          <a:r>
            <a:rPr lang="en-US" sz="2200" b="0" i="0" u="none" strike="noStrike" baseline="0">
              <a:solidFill>
                <a:srgbClr val="000000"/>
              </a:solidFill>
              <a:latin typeface="Eras Demi ITC"/>
              <a:ea typeface="+mn-ea"/>
              <a:cs typeface="+mn-cs"/>
            </a:rPr>
            <a:t>Vital Statistics </a:t>
          </a:r>
          <a:r>
            <a:rPr lang="en-US" sz="2200" b="0" i="0" u="none" strike="noStrike" baseline="0">
              <a:solidFill>
                <a:srgbClr val="000000"/>
              </a:solidFill>
              <a:latin typeface="Eras Demi ITC"/>
            </a:rPr>
            <a:t>Trend Report 1998-2017</a:t>
          </a:r>
        </a:p>
        <a:p>
          <a:pPr algn="r" rtl="0">
            <a:defRPr sz="1000"/>
          </a:pPr>
          <a:endParaRPr lang="en-US" sz="2200" b="0" i="0" u="none" strike="noStrike" baseline="0">
            <a:solidFill>
              <a:srgbClr val="000000"/>
            </a:solidFill>
            <a:latin typeface="Eras Demi ITC"/>
          </a:endParaRPr>
        </a:p>
      </xdr:txBody>
    </xdr:sp>
    <xdr:clientData/>
  </xdr:twoCellAnchor>
  <xdr:twoCellAnchor>
    <xdr:from>
      <xdr:col>5</xdr:col>
      <xdr:colOff>152400</xdr:colOff>
      <xdr:row>21</xdr:row>
      <xdr:rowOff>19049</xdr:rowOff>
    </xdr:from>
    <xdr:to>
      <xdr:col>9</xdr:col>
      <xdr:colOff>352425</xdr:colOff>
      <xdr:row>26</xdr:row>
      <xdr:rowOff>142875</xdr:rowOff>
    </xdr:to>
    <xdr:sp macro="" textlink="">
      <xdr:nvSpPr>
        <xdr:cNvPr id="4" name="TextBox 3"/>
        <xdr:cNvSpPr txBox="1"/>
      </xdr:nvSpPr>
      <xdr:spPr>
        <a:xfrm>
          <a:off x="2819400" y="4333874"/>
          <a:ext cx="2333625" cy="1123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8/6/2019</a:t>
          </a:r>
        </a:p>
        <a:p>
          <a:r>
            <a:rPr lang="en-US" sz="1100"/>
            <a:t>Data for Education</a:t>
          </a:r>
          <a:r>
            <a:rPr lang="en-US" sz="1100" baseline="0"/>
            <a:t> tables year 2017-2018 was corrected for McLeod, Mahnomen, Marshall, and Martin counties and any associated County Health Board.</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304800</xdr:colOff>
      <xdr:row>20</xdr:row>
      <xdr:rowOff>800100</xdr:rowOff>
    </xdr:from>
    <xdr:to>
      <xdr:col>5</xdr:col>
      <xdr:colOff>76200</xdr:colOff>
      <xdr:row>20</xdr:row>
      <xdr:rowOff>2171700</xdr:rowOff>
    </xdr:to>
    <xdr:sp macro="" textlink="">
      <xdr:nvSpPr>
        <xdr:cNvPr id="5126" name="Text Box 6"/>
        <xdr:cNvSpPr txBox="1">
          <a:spLocks noChangeArrowheads="1"/>
        </xdr:cNvSpPr>
      </xdr:nvSpPr>
      <xdr:spPr bwMode="auto">
        <a:xfrm>
          <a:off x="1371600" y="19602450"/>
          <a:ext cx="1371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0" i="0" u="none" strike="noStrike" baseline="0">
              <a:solidFill>
                <a:srgbClr val="000000"/>
              </a:solidFill>
              <a:latin typeface="Tahoma"/>
              <a:cs typeface="Tahoma"/>
            </a:rPr>
            <a:t> </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I</a:t>
          </a:r>
          <a:r>
            <a:rPr lang="en-US" sz="900" b="0" i="0" u="none" strike="noStrike" baseline="0">
              <a:solidFill>
                <a:srgbClr val="000000"/>
              </a:solidFill>
              <a:latin typeface="Tahoma"/>
              <a:cs typeface="Tahoma"/>
            </a:rPr>
            <a:t>nsert…</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D</a:t>
          </a:r>
          <a:r>
            <a:rPr lang="en-US" sz="900" b="0" i="0" u="none" strike="noStrike" baseline="0">
              <a:solidFill>
                <a:srgbClr val="000000"/>
              </a:solidFill>
              <a:latin typeface="Tahoma"/>
              <a:cs typeface="Tahoma"/>
            </a:rPr>
            <a:t>elete</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R</a:t>
          </a:r>
          <a:r>
            <a:rPr lang="en-US" sz="900" b="0" i="0" u="none" strike="noStrike" baseline="0">
              <a:solidFill>
                <a:srgbClr val="000000"/>
              </a:solidFill>
              <a:latin typeface="Tahoma"/>
              <a:cs typeface="Tahoma"/>
            </a:rPr>
            <a:t>ename</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M</a:t>
          </a:r>
          <a:r>
            <a:rPr lang="en-US" sz="900" b="0" i="0" u="none" strike="noStrike" baseline="0">
              <a:solidFill>
                <a:srgbClr val="000000"/>
              </a:solidFill>
              <a:latin typeface="Tahoma"/>
              <a:cs typeface="Tahoma"/>
            </a:rPr>
            <a:t>ove or Copy…</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S</a:t>
          </a:r>
          <a:r>
            <a:rPr lang="en-US" sz="900" b="0" i="0" u="none" strike="noStrike" baseline="0">
              <a:solidFill>
                <a:srgbClr val="000000"/>
              </a:solidFill>
              <a:latin typeface="Tahoma"/>
              <a:cs typeface="Tahoma"/>
            </a:rPr>
            <a:t>elect All Sheets</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T</a:t>
          </a:r>
          <a:r>
            <a:rPr lang="en-US" sz="900" b="0" i="0" u="none" strike="noStrike" baseline="0">
              <a:solidFill>
                <a:srgbClr val="000000"/>
              </a:solidFill>
              <a:latin typeface="Tahoma"/>
              <a:cs typeface="Tahoma"/>
            </a:rPr>
            <a:t>ab Color …</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V</a:t>
          </a:r>
          <a:r>
            <a:rPr lang="en-US" sz="900" b="0" i="0" u="none" strike="noStrike" baseline="0">
              <a:solidFill>
                <a:srgbClr val="000000"/>
              </a:solidFill>
              <a:latin typeface="Tahoma"/>
              <a:cs typeface="Tahoma"/>
            </a:rPr>
            <a:t>iew Code</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editAs="oneCell">
    <xdr:from>
      <xdr:col>0</xdr:col>
      <xdr:colOff>0</xdr:colOff>
      <xdr:row>8</xdr:row>
      <xdr:rowOff>57151</xdr:rowOff>
    </xdr:from>
    <xdr:to>
      <xdr:col>9</xdr:col>
      <xdr:colOff>476250</xdr:colOff>
      <xdr:row>11</xdr:row>
      <xdr:rowOff>133349</xdr:rowOff>
    </xdr:to>
    <xdr:sp macro="" textlink="">
      <xdr:nvSpPr>
        <xdr:cNvPr id="5141" name="Text Box 21"/>
        <xdr:cNvSpPr txBox="1">
          <a:spLocks noChangeArrowheads="1"/>
        </xdr:cNvSpPr>
      </xdr:nvSpPr>
      <xdr:spPr bwMode="auto">
        <a:xfrm>
          <a:off x="0" y="1733551"/>
          <a:ext cx="5276850" cy="6762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0" i="0" u="none" strike="noStrike" baseline="0">
              <a:solidFill>
                <a:srgbClr val="000000"/>
              </a:solidFill>
              <a:latin typeface="Tw Cen MT" pitchFamily="34" charset="0"/>
            </a:rPr>
            <a:t>The following provides instructions on how to select counties and community health boards (CHB), how to save a copy for your own use, and how to remove data protection. </a:t>
          </a: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clientData/>
  </xdr:twoCellAnchor>
  <xdr:twoCellAnchor editAs="oneCell">
    <xdr:from>
      <xdr:col>0</xdr:col>
      <xdr:colOff>0</xdr:colOff>
      <xdr:row>11</xdr:row>
      <xdr:rowOff>194982</xdr:rowOff>
    </xdr:from>
    <xdr:to>
      <xdr:col>9</xdr:col>
      <xdr:colOff>476250</xdr:colOff>
      <xdr:row>16</xdr:row>
      <xdr:rowOff>179294</xdr:rowOff>
    </xdr:to>
    <xdr:sp macro="" textlink="">
      <xdr:nvSpPr>
        <xdr:cNvPr id="5142" name="Text Box 22"/>
        <xdr:cNvSpPr txBox="1">
          <a:spLocks noChangeArrowheads="1"/>
        </xdr:cNvSpPr>
      </xdr:nvSpPr>
      <xdr:spPr bwMode="auto">
        <a:xfrm>
          <a:off x="0" y="10997453"/>
          <a:ext cx="5317191" cy="9368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1" i="0" u="sng" strike="noStrike" baseline="0">
              <a:solidFill>
                <a:srgbClr val="000000"/>
              </a:solidFill>
              <a:latin typeface="Tw Cen MT" pitchFamily="34" charset="0"/>
            </a:rPr>
            <a:t>Selecting Counties and/or Community Health Boards (CHB)</a:t>
          </a:r>
          <a:endParaRPr lang="en-US" sz="1200" b="0" i="0" u="sng" strike="noStrike" baseline="0">
            <a:solidFill>
              <a:srgbClr val="000000"/>
            </a:solidFill>
            <a:latin typeface="Tw Cen MT" pitchFamily="34" charset="0"/>
          </a:endParaRPr>
        </a:p>
        <a:p>
          <a:pPr algn="l" rtl="0">
            <a:defRPr sz="1000"/>
          </a:pPr>
          <a:r>
            <a:rPr lang="en-US" sz="1200" b="0" i="1" u="none" strike="noStrike" baseline="0">
              <a:solidFill>
                <a:srgbClr val="000000"/>
              </a:solidFill>
              <a:latin typeface="Tw Cen MT" pitchFamily="34" charset="0"/>
            </a:rPr>
            <a:t>Trends </a:t>
          </a:r>
          <a:r>
            <a:rPr lang="en-US" sz="1200" b="0" i="0" u="none" strike="noStrike" baseline="0">
              <a:solidFill>
                <a:srgbClr val="000000"/>
              </a:solidFill>
              <a:latin typeface="Tw Cen MT" pitchFamily="34" charset="0"/>
            </a:rPr>
            <a:t>is a nine page report that allows you to compare up to six counties and/or CHBs at once.  When you first open up the Trends worksheet, no counties or CHBs have been selected.   You will see six yellow boxes with "None" selected in each box (Figure 1).</a:t>
          </a: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clientData/>
  </xdr:twoCellAnchor>
  <xdr:oneCellAnchor>
    <xdr:from>
      <xdr:col>0</xdr:col>
      <xdr:colOff>33616</xdr:colOff>
      <xdr:row>34</xdr:row>
      <xdr:rowOff>89647</xdr:rowOff>
    </xdr:from>
    <xdr:ext cx="5109883" cy="1097608"/>
    <xdr:sp macro="" textlink="">
      <xdr:nvSpPr>
        <xdr:cNvPr id="2" name="TextBox 1"/>
        <xdr:cNvSpPr txBox="1"/>
      </xdr:nvSpPr>
      <xdr:spPr>
        <a:xfrm>
          <a:off x="33616" y="15430500"/>
          <a:ext cx="5109883" cy="1097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200" b="0" i="0" u="none" strike="noStrike" baseline="0">
              <a:solidFill>
                <a:srgbClr val="000000"/>
              </a:solidFill>
              <a:latin typeface="Tw Cen MT" pitchFamily="34" charset="0"/>
              <a:ea typeface="+mn-ea"/>
              <a:cs typeface="Tahoma" pitchFamily="34" charset="0"/>
            </a:rPr>
            <a:t>To select a county or CHB, click on the first yellow box.  When you click on that box, an arrow will appear in the right hand corner of that cell. (Figure 2)  Click on that arrow for an alphabetical listing of all counties and CHBs (</a:t>
          </a:r>
          <a:r>
            <a:rPr lang="en-US" sz="1200" b="0" i="0" baseline="0">
              <a:solidFill>
                <a:schemeClr val="tx1"/>
              </a:solidFill>
              <a:effectLst/>
              <a:latin typeface="Tw Cen MT" pitchFamily="34" charset="0"/>
              <a:ea typeface="+mn-ea"/>
              <a:cs typeface="Tahoma" pitchFamily="34" charset="0"/>
            </a:rPr>
            <a:t>CHBs are located at the end of the list); </a:t>
          </a:r>
          <a:r>
            <a:rPr lang="en-US" sz="1200" b="0" i="0" u="none" strike="noStrike" baseline="0">
              <a:solidFill>
                <a:srgbClr val="000000"/>
              </a:solidFill>
              <a:latin typeface="Tw Cen MT" pitchFamily="34" charset="0"/>
              <a:ea typeface="+mn-ea"/>
              <a:cs typeface="Tahoma" pitchFamily="34" charset="0"/>
            </a:rPr>
            <a:t>scroll down and click the county or CHB of your choice. Repeat this for the remaining five yellow boxes.  You do not have to select a county or CHB for all six boxes (you can leave "None" in these boxes).  </a:t>
          </a:r>
          <a:endParaRPr lang="en-US" sz="1200">
            <a:effectLst/>
            <a:latin typeface="Tw Cen MT" pitchFamily="34" charset="0"/>
            <a:cs typeface="Tahoma" pitchFamily="34" charset="0"/>
          </a:endParaRPr>
        </a:p>
      </xdr:txBody>
    </xdr:sp>
    <xdr:clientData/>
  </xdr:oneCellAnchor>
  <xdr:twoCellAnchor>
    <xdr:from>
      <xdr:col>0</xdr:col>
      <xdr:colOff>0</xdr:colOff>
      <xdr:row>17</xdr:row>
      <xdr:rowOff>22412</xdr:rowOff>
    </xdr:from>
    <xdr:to>
      <xdr:col>7</xdr:col>
      <xdr:colOff>457200</xdr:colOff>
      <xdr:row>33</xdr:row>
      <xdr:rowOff>156884</xdr:rowOff>
    </xdr:to>
    <xdr:grpSp>
      <xdr:nvGrpSpPr>
        <xdr:cNvPr id="4" name="Group 3" descr="Picture of drop downs"/>
        <xdr:cNvGrpSpPr/>
      </xdr:nvGrpSpPr>
      <xdr:grpSpPr>
        <a:xfrm>
          <a:off x="0" y="3451412"/>
          <a:ext cx="4191000" cy="3296772"/>
          <a:chOff x="0" y="12337676"/>
          <a:chExt cx="4222376" cy="3316943"/>
        </a:xfrm>
      </xdr:grpSpPr>
      <xdr:pic>
        <xdr:nvPicPr>
          <xdr:cNvPr id="49" name="Picture 48" descr="drop down"/>
          <xdr:cNvPicPr/>
        </xdr:nvPicPr>
        <xdr:blipFill rotWithShape="1">
          <a:blip xmlns:r="http://schemas.openxmlformats.org/officeDocument/2006/relationships" r:embed="rId1"/>
          <a:srcRect t="33810" r="34027" b="4"/>
          <a:stretch/>
        </xdr:blipFill>
        <xdr:spPr bwMode="auto">
          <a:xfrm>
            <a:off x="0" y="12678336"/>
            <a:ext cx="4222376" cy="2976283"/>
          </a:xfrm>
          <a:prstGeom prst="rect">
            <a:avLst/>
          </a:prstGeom>
          <a:ln>
            <a:noFill/>
          </a:ln>
          <a:extLst>
            <a:ext uri="{53640926-AAD7-44D8-BBD7-CCE9431645EC}">
              <a14:shadowObscured xmlns:a14="http://schemas.microsoft.com/office/drawing/2010/main"/>
            </a:ext>
          </a:extLst>
        </xdr:spPr>
      </xdr:pic>
      <xdr:sp macro="" textlink="">
        <xdr:nvSpPr>
          <xdr:cNvPr id="3" name="TextBox 2" descr="figure 1"/>
          <xdr:cNvSpPr txBox="1"/>
        </xdr:nvSpPr>
        <xdr:spPr>
          <a:xfrm>
            <a:off x="22412" y="12337676"/>
            <a:ext cx="745910" cy="259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latin typeface="Tw Cen MT" pitchFamily="34" charset="0"/>
              </a:rPr>
              <a:t>Figure 1:</a:t>
            </a:r>
          </a:p>
        </xdr:txBody>
      </xdr:sp>
    </xdr:grpSp>
    <xdr:clientData/>
  </xdr:twoCellAnchor>
  <xdr:twoCellAnchor>
    <xdr:from>
      <xdr:col>0</xdr:col>
      <xdr:colOff>0</xdr:colOff>
      <xdr:row>40</xdr:row>
      <xdr:rowOff>78441</xdr:rowOff>
    </xdr:from>
    <xdr:to>
      <xdr:col>1</xdr:col>
      <xdr:colOff>290102</xdr:colOff>
      <xdr:row>42</xdr:row>
      <xdr:rowOff>31348</xdr:rowOff>
    </xdr:to>
    <xdr:sp macro="" textlink="">
      <xdr:nvSpPr>
        <xdr:cNvPr id="54" name="TextBox 53"/>
        <xdr:cNvSpPr txBox="1"/>
      </xdr:nvSpPr>
      <xdr:spPr>
        <a:xfrm>
          <a:off x="0" y="8090647"/>
          <a:ext cx="827984"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latin typeface="Tw Cen MT" pitchFamily="34" charset="0"/>
            </a:rPr>
            <a:t>Figure 2:</a:t>
          </a:r>
        </a:p>
      </xdr:txBody>
    </xdr:sp>
    <xdr:clientData/>
  </xdr:twoCellAnchor>
  <xdr:twoCellAnchor>
    <xdr:from>
      <xdr:col>0</xdr:col>
      <xdr:colOff>11093</xdr:colOff>
      <xdr:row>58</xdr:row>
      <xdr:rowOff>78441</xdr:rowOff>
    </xdr:from>
    <xdr:to>
      <xdr:col>9</xdr:col>
      <xdr:colOff>280148</xdr:colOff>
      <xdr:row>76</xdr:row>
      <xdr:rowOff>123264</xdr:rowOff>
    </xdr:to>
    <xdr:grpSp>
      <xdr:nvGrpSpPr>
        <xdr:cNvPr id="6" name="Group 5" descr="instructions"/>
        <xdr:cNvGrpSpPr/>
      </xdr:nvGrpSpPr>
      <xdr:grpSpPr>
        <a:xfrm>
          <a:off x="11093" y="11632266"/>
          <a:ext cx="5069655" cy="3454773"/>
          <a:chOff x="11207" y="20215412"/>
          <a:chExt cx="5109882" cy="3451411"/>
        </a:xfrm>
      </xdr:grpSpPr>
      <xdr:grpSp>
        <xdr:nvGrpSpPr>
          <xdr:cNvPr id="5" name="Group 4"/>
          <xdr:cNvGrpSpPr/>
        </xdr:nvGrpSpPr>
        <xdr:grpSpPr>
          <a:xfrm>
            <a:off x="33617" y="20966205"/>
            <a:ext cx="3766375" cy="2700618"/>
            <a:chOff x="78440" y="20293852"/>
            <a:chExt cx="3766375" cy="2700618"/>
          </a:xfrm>
        </xdr:grpSpPr>
        <xdr:pic>
          <xdr:nvPicPr>
            <xdr:cNvPr id="55" name="Picture 54" descr="instructions"/>
            <xdr:cNvPicPr/>
          </xdr:nvPicPr>
          <xdr:blipFill rotWithShape="1">
            <a:blip xmlns:r="http://schemas.openxmlformats.org/officeDocument/2006/relationships" r:embed="rId2"/>
            <a:srcRect t="38371" r="47917" b="12227"/>
            <a:stretch/>
          </xdr:blipFill>
          <xdr:spPr bwMode="auto">
            <a:xfrm>
              <a:off x="124462" y="20630029"/>
              <a:ext cx="3720353" cy="2364441"/>
            </a:xfrm>
            <a:prstGeom prst="rect">
              <a:avLst/>
            </a:prstGeom>
            <a:ln>
              <a:noFill/>
            </a:ln>
            <a:extLst>
              <a:ext uri="{53640926-AAD7-44D8-BBD7-CCE9431645EC}">
                <a14:shadowObscured xmlns:a14="http://schemas.microsoft.com/office/drawing/2010/main"/>
              </a:ext>
            </a:extLst>
          </xdr:spPr>
        </xdr:pic>
        <xdr:sp macro="" textlink="">
          <xdr:nvSpPr>
            <xdr:cNvPr id="56" name="TextBox 55"/>
            <xdr:cNvSpPr txBox="1"/>
          </xdr:nvSpPr>
          <xdr:spPr>
            <a:xfrm>
              <a:off x="78440" y="20293852"/>
              <a:ext cx="82798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latin typeface="Tw Cen MT" pitchFamily="34" charset="0"/>
                </a:rPr>
                <a:t>Figure 3:</a:t>
              </a:r>
            </a:p>
          </xdr:txBody>
        </xdr:sp>
      </xdr:grpSp>
      <xdr:sp macro="" textlink="">
        <xdr:nvSpPr>
          <xdr:cNvPr id="57" name="TextBox 56" descr="figure 3"/>
          <xdr:cNvSpPr txBox="1"/>
        </xdr:nvSpPr>
        <xdr:spPr>
          <a:xfrm>
            <a:off x="11207" y="20215412"/>
            <a:ext cx="5109882" cy="7617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200" b="0" i="0" u="none" strike="noStrike" baseline="0">
                <a:solidFill>
                  <a:srgbClr val="000000"/>
                </a:solidFill>
                <a:latin typeface="Tw Cen MT" pitchFamily="34" charset="0"/>
                <a:ea typeface="+mn-ea"/>
                <a:cs typeface="Tahoma" pitchFamily="34" charset="0"/>
              </a:rPr>
              <a:t>In Figure 3, only Aitkin, Itasca, and Koochiching counties and the CHB of Aitkin, Itasca, and Koochiching were chosen.  The remaining two boxes have "None" selected. Once you have selected your counties or CHBs, the report will be populated with data from the county and CHB you selected.</a:t>
            </a:r>
            <a:endParaRPr lang="en-US" sz="1200">
              <a:effectLst/>
              <a:latin typeface="Tw Cen MT" pitchFamily="34" charset="0"/>
              <a:cs typeface="Tahoma" pitchFamily="34" charset="0"/>
            </a:endParaRPr>
          </a:p>
        </xdr:txBody>
      </xdr:sp>
    </xdr:grpSp>
    <xdr:clientData/>
  </xdr:twoCellAnchor>
  <xdr:twoCellAnchor>
    <xdr:from>
      <xdr:col>0</xdr:col>
      <xdr:colOff>105105</xdr:colOff>
      <xdr:row>78</xdr:row>
      <xdr:rowOff>131766</xdr:rowOff>
    </xdr:from>
    <xdr:to>
      <xdr:col>9</xdr:col>
      <xdr:colOff>472967</xdr:colOff>
      <xdr:row>95</xdr:row>
      <xdr:rowOff>36837</xdr:rowOff>
    </xdr:to>
    <xdr:grpSp>
      <xdr:nvGrpSpPr>
        <xdr:cNvPr id="61" name="Group 60" descr="protected data"/>
        <xdr:cNvGrpSpPr/>
      </xdr:nvGrpSpPr>
      <xdr:grpSpPr>
        <a:xfrm>
          <a:off x="105105" y="15419391"/>
          <a:ext cx="5168462" cy="2733996"/>
          <a:chOff x="0" y="7691931"/>
          <a:chExt cx="5262606" cy="2659445"/>
        </a:xfrm>
      </xdr:grpSpPr>
      <xdr:sp macro="" textlink="">
        <xdr:nvSpPr>
          <xdr:cNvPr id="62" name="Text Box 23" descr="protected data"/>
          <xdr:cNvSpPr txBox="1">
            <a:spLocks noChangeArrowheads="1"/>
          </xdr:cNvSpPr>
        </xdr:nvSpPr>
        <xdr:spPr bwMode="auto">
          <a:xfrm>
            <a:off x="0" y="7691931"/>
            <a:ext cx="5262606" cy="12418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1" i="0" u="sng" strike="noStrike" baseline="0">
                <a:solidFill>
                  <a:srgbClr val="000000"/>
                </a:solidFill>
                <a:latin typeface="Tw Cen MT" pitchFamily="34" charset="0"/>
              </a:rPr>
              <a:t>Potected Data in the "Trends" Worksheet</a:t>
            </a:r>
            <a:endParaRPr lang="en-US" sz="1200" b="0" i="0" u="sng" strike="noStrike" baseline="0">
              <a:solidFill>
                <a:srgbClr val="000000"/>
              </a:solidFill>
              <a:latin typeface="Tw Cen MT" pitchFamily="34" charset="0"/>
            </a:endParaRPr>
          </a:p>
          <a:p>
            <a:pPr algn="l" rtl="0">
              <a:defRPr sz="1000"/>
            </a:pPr>
            <a:endParaRPr lang="en-US" sz="1200" b="0" i="0" u="none" strike="noStrike" baseline="0">
              <a:solidFill>
                <a:srgbClr val="000000"/>
              </a:solidFill>
              <a:latin typeface="Tw Cen MT" pitchFamily="34" charset="0"/>
            </a:endParaRPr>
          </a:p>
          <a:p>
            <a:pPr algn="l" rtl="0">
              <a:defRPr sz="1000"/>
            </a:pPr>
            <a:r>
              <a:rPr lang="en-US" sz="1200" b="0" i="0" u="none" strike="noStrike" baseline="0">
                <a:solidFill>
                  <a:srgbClr val="000000"/>
                </a:solidFill>
                <a:latin typeface="Tw Cen MT" pitchFamily="34" charset="0"/>
              </a:rPr>
              <a:t>The </a:t>
            </a:r>
            <a:r>
              <a:rPr lang="en-US" sz="1200" b="0" i="1" u="none" strike="noStrike" baseline="0">
                <a:solidFill>
                  <a:srgbClr val="000000"/>
                </a:solidFill>
                <a:latin typeface="Tw Cen MT" pitchFamily="34" charset="0"/>
              </a:rPr>
              <a:t>Trends </a:t>
            </a:r>
            <a:r>
              <a:rPr lang="en-US" sz="1200" b="0" i="0" u="none" strike="noStrike" baseline="0">
                <a:solidFill>
                  <a:srgbClr val="000000"/>
                </a:solidFill>
                <a:latin typeface="Tw Cen MT" pitchFamily="34" charset="0"/>
              </a:rPr>
              <a:t>worksheet data are protected so that you cannot enter data.  If you try to enter data you will get an error message (Figure 4).  To remove the message from your screen, click "Cancel".  </a:t>
            </a:r>
            <a:r>
              <a:rPr lang="en-US" sz="1200" b="1" i="0" u="none" strike="noStrike" baseline="0">
                <a:solidFill>
                  <a:srgbClr val="000000"/>
                </a:solidFill>
                <a:latin typeface="Tw Cen MT" pitchFamily="34" charset="0"/>
              </a:rPr>
              <a:t>Be aware that you can delete data. </a:t>
            </a:r>
            <a:r>
              <a:rPr lang="en-US" sz="1200" b="0" i="0" u="none" strike="noStrike" baseline="0">
                <a:solidFill>
                  <a:srgbClr val="000000"/>
                </a:solidFill>
                <a:latin typeface="Tw Cen MT" pitchFamily="34" charset="0"/>
              </a:rPr>
              <a:t>The good news is that the original file is still available on our website.  If you do delete data, you can download the file again off the MCHS website.</a:t>
            </a:r>
          </a:p>
          <a:p>
            <a:pPr algn="l" rtl="0">
              <a:defRPr sz="1000"/>
            </a:pPr>
            <a:endParaRPr lang="en-US" sz="1200" b="0" i="0" u="none" strike="noStrike" baseline="0">
              <a:solidFill>
                <a:srgbClr val="000000"/>
              </a:solidFill>
              <a:latin typeface="Tw Cen MT" pitchFamily="34" charset="0"/>
            </a:endParaRP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grpSp>
        <xdr:nvGrpSpPr>
          <xdr:cNvPr id="63" name="Group 62"/>
          <xdr:cNvGrpSpPr/>
        </xdr:nvGrpSpPr>
        <xdr:grpSpPr>
          <a:xfrm>
            <a:off x="0" y="9019190"/>
            <a:ext cx="2595070" cy="1332186"/>
            <a:chOff x="0" y="9019190"/>
            <a:chExt cx="2595070" cy="1332186"/>
          </a:xfrm>
        </xdr:grpSpPr>
        <xdr:pic>
          <xdr:nvPicPr>
            <xdr:cNvPr id="64" name="Picture 7" descr="warning box"/>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254687"/>
              <a:ext cx="2595070" cy="1096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5" name="Text Box 44"/>
            <xdr:cNvSpPr txBox="1">
              <a:spLocks noChangeArrowheads="1"/>
            </xdr:cNvSpPr>
          </xdr:nvSpPr>
          <xdr:spPr bwMode="auto">
            <a:xfrm>
              <a:off x="0" y="9019190"/>
              <a:ext cx="663465" cy="204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7432" rIns="0" bIns="0" anchor="t" upright="1">
              <a:noAutofit/>
            </a:bodyPr>
            <a:lstStyle/>
            <a:p>
              <a:pPr algn="l" rtl="0">
                <a:defRPr sz="1000"/>
              </a:pPr>
              <a:r>
                <a:rPr lang="en-US" sz="1200" b="1" i="0" u="none" strike="noStrike" baseline="0">
                  <a:solidFill>
                    <a:srgbClr val="000000"/>
                  </a:solidFill>
                  <a:latin typeface="Tw Cen MT" pitchFamily="34" charset="0"/>
                </a:rPr>
                <a:t>Figure 4</a:t>
              </a:r>
              <a:r>
                <a:rPr lang="en-US" sz="1200" b="1" i="0" u="none" strike="noStrike" baseline="0">
                  <a:solidFill>
                    <a:srgbClr val="000000"/>
                  </a:solidFill>
                  <a:latin typeface="Eras Demi ITC"/>
                </a:rPr>
                <a:t>:</a:t>
              </a:r>
            </a:p>
          </xdr:txBody>
        </xdr:sp>
      </xdr:grpSp>
    </xdr:grpSp>
    <xdr:clientData/>
  </xdr:twoCellAnchor>
  <xdr:twoCellAnchor>
    <xdr:from>
      <xdr:col>0</xdr:col>
      <xdr:colOff>104775</xdr:colOff>
      <xdr:row>42</xdr:row>
      <xdr:rowOff>54908</xdr:rowOff>
    </xdr:from>
    <xdr:to>
      <xdr:col>7</xdr:col>
      <xdr:colOff>463364</xdr:colOff>
      <xdr:row>56</xdr:row>
      <xdr:rowOff>21290</xdr:rowOff>
    </xdr:to>
    <xdr:pic>
      <xdr:nvPicPr>
        <xdr:cNvPr id="53" name="Picture 52" descr="figure"/>
        <xdr:cNvPicPr/>
      </xdr:nvPicPr>
      <xdr:blipFill rotWithShape="1">
        <a:blip xmlns:r="http://schemas.openxmlformats.org/officeDocument/2006/relationships" r:embed="rId4"/>
        <a:srcRect t="52760" r="47048"/>
        <a:stretch/>
      </xdr:blipFill>
      <xdr:spPr bwMode="auto">
        <a:xfrm>
          <a:off x="104775" y="8408333"/>
          <a:ext cx="4092389" cy="2766732"/>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274</xdr:row>
      <xdr:rowOff>69395</xdr:rowOff>
    </xdr:from>
    <xdr:to>
      <xdr:col>11</xdr:col>
      <xdr:colOff>504824</xdr:colOff>
      <xdr:row>303</xdr:row>
      <xdr:rowOff>133350</xdr:rowOff>
    </xdr:to>
    <xdr:sp macro="" textlink="">
      <xdr:nvSpPr>
        <xdr:cNvPr id="2072" name="Text Box 24"/>
        <xdr:cNvSpPr txBox="1">
          <a:spLocks noChangeArrowheads="1"/>
        </xdr:cNvSpPr>
      </xdr:nvSpPr>
      <xdr:spPr bwMode="auto">
        <a:xfrm>
          <a:off x="47625" y="49723220"/>
          <a:ext cx="8048624" cy="47597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22860" rIns="0" bIns="0" anchor="t" upright="1"/>
        <a:lstStyle/>
        <a:p>
          <a:pPr algn="l" rtl="0">
            <a:defRPr sz="1000"/>
          </a:pPr>
          <a:r>
            <a:rPr lang="en-US" sz="900" b="1" i="0" u="none" strike="noStrike" baseline="0">
              <a:solidFill>
                <a:srgbClr val="000000"/>
              </a:solidFill>
              <a:latin typeface="Tw Cen MT" pitchFamily="34" charset="0"/>
              <a:cs typeface="Times New Roman"/>
            </a:rPr>
            <a:t>Sources</a:t>
          </a:r>
          <a:endParaRPr lang="en-US" sz="800" b="1" i="0" u="none" strike="noStrike" baseline="0">
            <a:solidFill>
              <a:srgbClr val="000000"/>
            </a:solidFill>
            <a:latin typeface="Tw Cen MT" pitchFamily="34" charset="0"/>
            <a:cs typeface="Times New Roman"/>
          </a:endParaRPr>
        </a:p>
        <a:p>
          <a:pPr algn="l" rtl="0">
            <a:defRPr sz="1000"/>
          </a:pPr>
          <a:endParaRPr lang="en-US" sz="800" b="0" i="0" u="none" strike="noStrike" baseline="30000">
            <a:solidFill>
              <a:srgbClr val="000000"/>
            </a:solidFill>
            <a:latin typeface="Tw Cen MT" pitchFamily="34" charset="0"/>
            <a:cs typeface="Times New Roman"/>
          </a:endParaRPr>
        </a:p>
        <a:p>
          <a:pPr algn="l" rtl="0">
            <a:defRPr sz="1000"/>
          </a:pPr>
          <a:r>
            <a:rPr lang="en-US" sz="900" b="0" i="0" u="none" strike="noStrike" baseline="30000">
              <a:solidFill>
                <a:srgbClr val="000000"/>
              </a:solidFill>
              <a:latin typeface="Tw Cen MT" pitchFamily="34" charset="0"/>
              <a:cs typeface="Times New Roman"/>
            </a:rPr>
            <a:t>1</a:t>
          </a:r>
          <a:r>
            <a:rPr lang="en-US" sz="900" b="0" i="0" u="none" strike="noStrike" baseline="0">
              <a:solidFill>
                <a:srgbClr val="000000"/>
              </a:solidFill>
              <a:latin typeface="Tw Cen MT" pitchFamily="34" charset="0"/>
              <a:cs typeface="Times New Roman"/>
            </a:rPr>
            <a:t> US Census www.census.gov  Poverty estimates and median household income:  www.census.gov/hhes/www/saipe/county.html</a:t>
          </a:r>
        </a:p>
        <a:p>
          <a:pPr algn="l" rtl="0">
            <a:defRPr sz="1000"/>
          </a:pPr>
          <a:r>
            <a:rPr lang="en-US" sz="900" b="0" i="0" u="none" strike="noStrike" baseline="30000">
              <a:solidFill>
                <a:srgbClr val="000000"/>
              </a:solidFill>
              <a:latin typeface="Tw Cen MT" pitchFamily="34" charset="0"/>
              <a:cs typeface="Times New Roman"/>
            </a:rPr>
            <a:t>2</a:t>
          </a:r>
          <a:r>
            <a:rPr lang="en-US" sz="900" b="0" i="0" u="none" strike="noStrike" baseline="0">
              <a:solidFill>
                <a:srgbClr val="000000"/>
              </a:solidFill>
              <a:latin typeface="Tw Cen MT" pitchFamily="34" charset="0"/>
              <a:cs typeface="Times New Roman"/>
            </a:rPr>
            <a:t> Minnesota State Demographer, http://www.demography.state.mn.us/estimates.html and US Census www.census.gov</a:t>
          </a:r>
        </a:p>
        <a:p>
          <a:pPr algn="l" rtl="0">
            <a:defRPr sz="1000"/>
          </a:pPr>
          <a:r>
            <a:rPr lang="en-US" sz="900" b="0" i="0" u="none" strike="noStrike" baseline="30000">
              <a:solidFill>
                <a:srgbClr val="000000"/>
              </a:solidFill>
              <a:latin typeface="Tw Cen MT" pitchFamily="34" charset="0"/>
              <a:cs typeface="Times New Roman"/>
            </a:rPr>
            <a:t>3</a:t>
          </a:r>
          <a:r>
            <a:rPr lang="en-US" sz="900" b="0" i="0" u="none" strike="noStrike" baseline="0">
              <a:solidFill>
                <a:srgbClr val="000000"/>
              </a:solidFill>
              <a:latin typeface="Tw Cen MT" pitchFamily="34" charset="0"/>
              <a:cs typeface="Times New Roman"/>
            </a:rPr>
            <a:t>Minnesota Department of Employment and Economic Development, http://www.deed.state.mn.us/lmi/tools/laus.htm</a:t>
          </a:r>
        </a:p>
        <a:p>
          <a:pPr algn="l" rtl="0">
            <a:defRPr sz="1000"/>
          </a:pPr>
          <a:r>
            <a:rPr lang="en-US" sz="900" b="0" i="0" u="none" strike="noStrike" baseline="30000">
              <a:solidFill>
                <a:srgbClr val="000000"/>
              </a:solidFill>
              <a:latin typeface="Tw Cen MT" pitchFamily="34" charset="0"/>
              <a:cs typeface="Times New Roman"/>
            </a:rPr>
            <a:t>4</a:t>
          </a:r>
          <a:r>
            <a:rPr lang="en-US" sz="900" b="0" i="0" u="none" strike="noStrike" baseline="0">
              <a:solidFill>
                <a:srgbClr val="000000"/>
              </a:solidFill>
              <a:latin typeface="Tw Cen MT" pitchFamily="34" charset="0"/>
              <a:cs typeface="Times New Roman"/>
            </a:rPr>
            <a:t>Minnesota Department of Human Services; tribal counts Mille Lacs, Red Lake, and White Earth are included in totals but not in county counts.</a:t>
          </a:r>
        </a:p>
        <a:p>
          <a:pPr algn="l" rtl="0">
            <a:defRPr sz="1000"/>
          </a:pPr>
          <a:r>
            <a:rPr lang="en-US" sz="900" b="0" i="0" u="none" strike="noStrike" baseline="30000">
              <a:solidFill>
                <a:srgbClr val="000000"/>
              </a:solidFill>
              <a:latin typeface="Tw Cen MT" pitchFamily="34" charset="0"/>
              <a:cs typeface="Times New Roman"/>
            </a:rPr>
            <a:t>5</a:t>
          </a:r>
          <a:r>
            <a:rPr lang="en-US" sz="900" b="0" i="0" u="none" strike="noStrike" baseline="0">
              <a:solidFill>
                <a:srgbClr val="000000"/>
              </a:solidFill>
              <a:latin typeface="Tw Cen MT" pitchFamily="34" charset="0"/>
              <a:cs typeface="Times New Roman"/>
            </a:rPr>
            <a:t> US Department of Commerce, Bureau of Economic Analysis, http://www.bea.gov/itable/</a:t>
          </a:r>
        </a:p>
        <a:p>
          <a:pPr algn="l" rtl="0">
            <a:defRPr sz="1000"/>
          </a:pPr>
          <a:r>
            <a:rPr lang="en-US" sz="900" b="0" i="0" u="none" strike="noStrike" baseline="30000">
              <a:solidFill>
                <a:srgbClr val="000000"/>
              </a:solidFill>
              <a:latin typeface="Tw Cen MT" pitchFamily="34" charset="0"/>
              <a:cs typeface="Times New Roman"/>
            </a:rPr>
            <a:t>6</a:t>
          </a:r>
          <a:r>
            <a:rPr lang="en-US" sz="900" b="0" i="0" u="none" strike="noStrike" baseline="0">
              <a:solidFill>
                <a:srgbClr val="000000"/>
              </a:solidFill>
              <a:latin typeface="Tw Cen MT" pitchFamily="34" charset="0"/>
              <a:cs typeface="Times New Roman"/>
            </a:rPr>
            <a:t> Minnesota Department of Education - www.education.state.mn.us/mde/Data/index.html</a:t>
          </a:r>
        </a:p>
        <a:p>
          <a:pPr algn="l" rtl="0">
            <a:defRPr sz="1000"/>
          </a:pPr>
          <a:r>
            <a:rPr lang="en-US" sz="900" b="0" i="0" u="none" strike="noStrike" baseline="30000">
              <a:solidFill>
                <a:srgbClr val="000000"/>
              </a:solidFill>
              <a:latin typeface="Tw Cen MT" pitchFamily="34" charset="0"/>
              <a:cs typeface="Times New Roman"/>
            </a:rPr>
            <a:t>7</a:t>
          </a:r>
          <a:r>
            <a:rPr lang="en-US" sz="900" b="0" i="0" u="none" strike="noStrike" baseline="0">
              <a:solidFill>
                <a:srgbClr val="000000"/>
              </a:solidFill>
              <a:latin typeface="Tw Cen MT" pitchFamily="34" charset="0"/>
              <a:cs typeface="Times New Roman"/>
            </a:rPr>
            <a:t> Minnesota Department of Health, Center for Health Statistics, www.health.state.mn.us/divs/chs </a:t>
          </a:r>
        </a:p>
        <a:p>
          <a:pPr algn="l" rtl="0">
            <a:defRPr sz="1000"/>
          </a:pPr>
          <a:r>
            <a:rPr lang="en-US" sz="900" b="0" i="0" u="none" strike="noStrike" baseline="30000">
              <a:solidFill>
                <a:srgbClr val="000000"/>
              </a:solidFill>
              <a:latin typeface="Tw Cen MT" pitchFamily="34" charset="0"/>
              <a:cs typeface="Times New Roman"/>
            </a:rPr>
            <a:t>8</a:t>
          </a:r>
          <a:r>
            <a:rPr lang="en-US" sz="900" b="0" i="0" u="none" strike="noStrike" baseline="0">
              <a:solidFill>
                <a:srgbClr val="000000"/>
              </a:solidFill>
              <a:latin typeface="Tw Cen MT" pitchFamily="34" charset="0"/>
              <a:cs typeface="Times New Roman"/>
            </a:rPr>
            <a:t> Minnesota Department of Health, Center for Health Statistics, linked birth/death cohort</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For more detailed data on births and deaths in Minnesota go to the Minnesota Vital Statistics Interactive Queries Website:</a:t>
          </a:r>
        </a:p>
        <a:p>
          <a:pPr algn="l" rtl="0">
            <a:defRPr sz="1000"/>
          </a:pPr>
          <a:r>
            <a:rPr lang="en-US" sz="900" b="0" i="0" u="none" strike="noStrike" baseline="0">
              <a:solidFill>
                <a:srgbClr val="000000"/>
              </a:solidFill>
              <a:latin typeface="Tw Cen MT" pitchFamily="34" charset="0"/>
              <a:cs typeface="Times New Roman"/>
            </a:rPr>
            <a:t>https://pqc.health.state.mn.us/mhsq/index.jsp</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1" i="0" u="none" strike="noStrike" baseline="0">
              <a:solidFill>
                <a:srgbClr val="000000"/>
              </a:solidFill>
              <a:latin typeface="Tw Cen MT" pitchFamily="34" charset="0"/>
              <a:cs typeface="Times New Roman"/>
            </a:rPr>
            <a:t>Definitions</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Number of Households: The number of occupied houses, apartments, or other separate living quarters, in which the occupants live and eat separately from other persons in the building and to which they have direct access from outside the building or through a common hall.  </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ea typeface="+mn-ea"/>
              <a:cs typeface="Times New Roman"/>
            </a:rPr>
            <a:t>Unemployed Annual Average: The annual average of unemployed divided by the labor force (not seasonally adjusted)</a:t>
          </a:r>
        </a:p>
        <a:p>
          <a:pPr algn="l" rtl="0">
            <a:defRPr sz="1000"/>
          </a:pPr>
          <a:endParaRPr lang="en-US" sz="900" b="0" i="0" u="none" strike="noStrike" baseline="0">
            <a:solidFill>
              <a:srgbClr val="000000"/>
            </a:solidFill>
            <a:latin typeface="Tw Cen MT" pitchFamily="34" charset="0"/>
            <a:ea typeface="+mn-ea"/>
            <a:cs typeface="Times New Roman"/>
          </a:endParaRPr>
        </a:p>
        <a:p>
          <a:pPr algn="l" rtl="0">
            <a:defRPr sz="1000"/>
          </a:pPr>
          <a:r>
            <a:rPr lang="en-US" sz="900" b="0" i="0" u="none" strike="noStrike" baseline="0">
              <a:solidFill>
                <a:sysClr val="windowText" lastClr="000000"/>
              </a:solidFill>
              <a:latin typeface="Tw Cen MT" pitchFamily="34" charset="0"/>
              <a:cs typeface="Times New Roman"/>
            </a:rPr>
            <a:t>Per capita and median household income are adjusted to 2013 dollars using CPI from the Bureau of Labor and Statistics, www.bls.gov/cpi/.  For unadjusted data, go the the Minnesota Public Health Data Access Network, population statistics, https://apps.health.state.mn.us/mndata/</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PreKindergarten to 12th Grade Enrollment: Students who were enrolled over October 1 of the school year. Excluded from the counts are shared-time students, adult students, and students attending in other states or nonpublic schools for care and treatment purposes. Dual enrolled students are counted only once.</a:t>
          </a:r>
        </a:p>
        <a:p>
          <a:pPr algn="l" rtl="0">
            <a:defRPr sz="1000"/>
          </a:pPr>
          <a:endParaRPr lang="en-US" sz="900" b="0" i="0" u="none" strike="noStrike" baseline="0">
            <a:solidFill>
              <a:srgbClr val="000000"/>
            </a:solidFill>
            <a:latin typeface="Tw Cen MT" pitchFamily="34" charset="0"/>
            <a:cs typeface="Times New Roman"/>
          </a:endParaRPr>
        </a:p>
        <a:p>
          <a:r>
            <a:rPr lang="en-US" sz="900">
              <a:effectLst/>
              <a:latin typeface="Tw Cen MT" pitchFamily="34" charset="0"/>
              <a:ea typeface="+mn-ea"/>
              <a:cs typeface="Times New Roman" pitchFamily="18" charset="0"/>
            </a:rPr>
            <a:t>The Four-Year Graduation Rate is a four-year, on-time graduation rate based on a cohort of first time ninth grade students plus transfers into the cohort within the four year period minus transfers out of the cohort within the four year period. </a:t>
          </a:r>
          <a:endParaRPr lang="en-US" sz="900">
            <a:effectLst/>
            <a:latin typeface="Tw Cen MT" pitchFamily="34" charset="0"/>
            <a:cs typeface="Times New Roman" pitchFamily="18" charset="0"/>
          </a:endParaRP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Infant Deaths:  Deaths to infants under 1 year of age.</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Age Adjusted Death Rate:  Adjusted to the 2000 US Standard Population for more information how to calculate go to: </a:t>
          </a:r>
          <a:r>
            <a:rPr lang="en-US" sz="900" b="0" i="0" u="sng" strike="noStrike" baseline="0">
              <a:solidFill>
                <a:srgbClr val="000000"/>
              </a:solidFill>
              <a:latin typeface="Tw Cen MT" pitchFamily="34" charset="0"/>
              <a:cs typeface="Times New Roman"/>
            </a:rPr>
            <a:t>http://www.cdc.gov/nchs/data/statnt/statnt06rv.pdf</a:t>
          </a:r>
          <a:endParaRPr lang="en-US" sz="900" b="0" i="0" u="none" strike="noStrike" baseline="0">
            <a:solidFill>
              <a:srgbClr val="000000"/>
            </a:solidFill>
            <a:latin typeface="Tw Cen MT" pitchFamily="34" charset="0"/>
            <a:cs typeface="Times New Roman"/>
          </a:endParaRP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ICD 10 Codes:  Cancer (C00-C97), Heart Disease (I00-I09, I11, I13, I20-I51), Stroke (I60-I69) and Unintentional Injury (V01-X59, Y85-Y86)</a:t>
          </a:r>
        </a:p>
        <a:p>
          <a:pPr algn="l" rtl="0">
            <a:defRPr sz="1000"/>
          </a:pPr>
          <a:endParaRPr lang="en-US" sz="1000" b="0" i="0" u="none" strike="noStrike" baseline="0">
            <a:solidFill>
              <a:srgbClr val="000000"/>
            </a:solidFill>
            <a:latin typeface="Tw Cen MT" pitchFamily="34" charset="0"/>
            <a:cs typeface="Times New Roman"/>
          </a:endParaRPr>
        </a:p>
      </xdr:txBody>
    </xdr:sp>
    <xdr:clientData/>
  </xdr:twoCellAnchor>
  <xdr:twoCellAnchor editAs="oneCell">
    <xdr:from>
      <xdr:col>0</xdr:col>
      <xdr:colOff>0</xdr:colOff>
      <xdr:row>310</xdr:row>
      <xdr:rowOff>152400</xdr:rowOff>
    </xdr:from>
    <xdr:to>
      <xdr:col>3</xdr:col>
      <xdr:colOff>39370</xdr:colOff>
      <xdr:row>313</xdr:row>
      <xdr:rowOff>123825</xdr:rowOff>
    </xdr:to>
    <xdr:pic>
      <xdr:nvPicPr>
        <xdr:cNvPr id="4" name="Picture 3" descr="Minnesota Department of Health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797450"/>
          <a:ext cx="3154045" cy="457200"/>
        </a:xfrm>
        <a:prstGeom prst="rect">
          <a:avLst/>
        </a:prstGeom>
      </xdr:spPr>
    </xdr:pic>
    <xdr:clientData/>
  </xdr:twoCellAnchor>
  <xdr:twoCellAnchor editAs="oneCell">
    <xdr:from>
      <xdr:col>0</xdr:col>
      <xdr:colOff>0</xdr:colOff>
      <xdr:row>30</xdr:row>
      <xdr:rowOff>180975</xdr:rowOff>
    </xdr:from>
    <xdr:to>
      <xdr:col>3</xdr:col>
      <xdr:colOff>39370</xdr:colOff>
      <xdr:row>33</xdr:row>
      <xdr:rowOff>9525</xdr:rowOff>
    </xdr:to>
    <xdr:pic>
      <xdr:nvPicPr>
        <xdr:cNvPr id="5" name="Picture 4" descr="Minnesota Department of Health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943600"/>
          <a:ext cx="315404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solidFill>
          <a:headEnd type="triangle"/>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ealthstats@state.mn.us" TargetMode="External"/><Relationship Id="rId1" Type="http://schemas.openxmlformats.org/officeDocument/2006/relationships/hyperlink" Target="http://www.health.state.mn.us/divs/chs/top_2.ht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ealthstats@state.mn.us" TargetMode="External"/><Relationship Id="rId1" Type="http://schemas.openxmlformats.org/officeDocument/2006/relationships/hyperlink" Target="http://www.health.state.mn.us/divs/ch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S176"/>
  <sheetViews>
    <sheetView zoomScaleNormal="100" zoomScaleSheetLayoutView="130" workbookViewId="0">
      <pane xSplit="2" ySplit="3" topLeftCell="BJ43" activePane="bottomRight" state="frozen"/>
      <selection pane="topRight" activeCell="C1" sqref="C1"/>
      <selection pane="bottomLeft" activeCell="A4" sqref="A4"/>
      <selection pane="bottomRight" activeCell="BR46" sqref="BR46"/>
    </sheetView>
  </sheetViews>
  <sheetFormatPr defaultRowHeight="12.75" x14ac:dyDescent="0.2"/>
  <cols>
    <col min="1" max="1" width="8.83203125" style="128" customWidth="1"/>
    <col min="2" max="2" width="46.83203125" style="128" customWidth="1"/>
    <col min="3" max="7" width="16.6640625" style="109" customWidth="1"/>
    <col min="8" max="12" width="16.6640625" style="36" customWidth="1"/>
    <col min="13" max="13" width="16.6640625" style="102" customWidth="1"/>
    <col min="14" max="32" width="16.6640625" style="36" customWidth="1"/>
    <col min="33" max="36" width="16.6640625" style="102" customWidth="1"/>
    <col min="37" max="37" width="16.6640625" style="36" customWidth="1"/>
    <col min="38" max="41" width="16.6640625" style="102" customWidth="1"/>
    <col min="42" max="42" width="16.6640625" style="36" customWidth="1"/>
    <col min="43" max="47" width="16.6640625" style="102" customWidth="1"/>
    <col min="48" max="51" width="16.6640625" style="36" customWidth="1"/>
    <col min="52" max="54" width="16.6640625" style="102" customWidth="1"/>
    <col min="55" max="62" width="16.6640625" style="36" customWidth="1"/>
    <col min="63" max="65" width="16.6640625" style="102" customWidth="1"/>
    <col min="66" max="66" width="16.6640625" style="36" customWidth="1"/>
    <col min="67" max="69" width="16.6640625" style="102" customWidth="1"/>
    <col min="70" max="78" width="16.6640625" style="36" customWidth="1"/>
    <col min="79" max="82" width="16.6640625" style="102" customWidth="1"/>
    <col min="83" max="86" width="16.6640625" style="36" customWidth="1"/>
    <col min="87" max="90" width="16.6640625" style="102" customWidth="1"/>
    <col min="91" max="96" width="16.6640625" style="36" customWidth="1"/>
    <col min="97" max="106" width="16.6640625" style="102" customWidth="1"/>
    <col min="107" max="110" width="16.6640625" style="36" customWidth="1"/>
    <col min="111" max="139" width="16.6640625" style="102" customWidth="1"/>
    <col min="140" max="144" width="16.6640625" style="36" customWidth="1"/>
    <col min="145" max="148" width="16.6640625" style="102" customWidth="1"/>
    <col min="149" max="160" width="16.6640625" style="36" customWidth="1"/>
    <col min="161" max="164" width="16.6640625" style="102" customWidth="1"/>
    <col min="165" max="168" width="16.6640625" style="36" customWidth="1"/>
    <col min="169" max="172" width="16.6640625" style="102" customWidth="1"/>
    <col min="173" max="176" width="16.6640625" style="36" customWidth="1"/>
    <col min="177" max="180" width="16.6640625" style="102" customWidth="1"/>
    <col min="181" max="184" width="16.6640625" style="36" customWidth="1"/>
    <col min="185" max="188" width="16.6640625" style="110" customWidth="1"/>
    <col min="189" max="192" width="16.6640625" style="128" customWidth="1"/>
    <col min="193" max="235" width="16.6640625" style="110" customWidth="1"/>
    <col min="236" max="16384" width="9.33203125" style="110"/>
  </cols>
  <sheetData>
    <row r="1" spans="1:253" s="108" customFormat="1" ht="30" customHeight="1" x14ac:dyDescent="0.2">
      <c r="B1" s="216"/>
      <c r="C1" s="244" t="s">
        <v>0</v>
      </c>
      <c r="D1" s="244"/>
      <c r="E1" s="244"/>
      <c r="F1" s="244"/>
      <c r="G1" s="244"/>
      <c r="H1" s="245" t="s">
        <v>495</v>
      </c>
      <c r="I1" s="245"/>
      <c r="J1" s="245"/>
      <c r="K1" s="245"/>
      <c r="L1" s="245"/>
      <c r="M1" s="244" t="s">
        <v>418</v>
      </c>
      <c r="N1" s="244"/>
      <c r="O1" s="244"/>
      <c r="P1" s="244"/>
      <c r="Q1" s="244"/>
      <c r="R1" s="245" t="s">
        <v>490</v>
      </c>
      <c r="S1" s="245"/>
      <c r="T1" s="245"/>
      <c r="U1" s="245"/>
      <c r="V1" s="245"/>
      <c r="W1" s="244" t="s">
        <v>489</v>
      </c>
      <c r="X1" s="244"/>
      <c r="Y1" s="244"/>
      <c r="Z1" s="244"/>
      <c r="AA1" s="244"/>
      <c r="AB1" s="245" t="s">
        <v>491</v>
      </c>
      <c r="AC1" s="245"/>
      <c r="AD1" s="245"/>
      <c r="AE1" s="245"/>
      <c r="AF1" s="245"/>
      <c r="AG1" s="244" t="s">
        <v>1</v>
      </c>
      <c r="AH1" s="244"/>
      <c r="AI1" s="244"/>
      <c r="AJ1" s="244"/>
      <c r="AK1" s="244"/>
      <c r="AL1" s="245" t="s">
        <v>488</v>
      </c>
      <c r="AM1" s="245"/>
      <c r="AN1" s="245"/>
      <c r="AO1" s="245"/>
      <c r="AP1" s="245"/>
      <c r="AQ1" s="244" t="s">
        <v>508</v>
      </c>
      <c r="AR1" s="244"/>
      <c r="AS1" s="244"/>
      <c r="AT1" s="244"/>
      <c r="AU1" s="244"/>
      <c r="AV1" s="245" t="s">
        <v>507</v>
      </c>
      <c r="AW1" s="245"/>
      <c r="AX1" s="245"/>
      <c r="AY1" s="245"/>
      <c r="AZ1" s="245"/>
      <c r="BA1" s="244" t="s">
        <v>492</v>
      </c>
      <c r="BB1" s="244"/>
      <c r="BC1" s="244"/>
      <c r="BD1" s="244"/>
      <c r="BE1" s="244"/>
      <c r="BF1" s="245" t="s">
        <v>493</v>
      </c>
      <c r="BG1" s="245"/>
      <c r="BH1" s="245"/>
      <c r="BI1" s="245"/>
      <c r="BJ1" s="245"/>
      <c r="BK1" s="244" t="s">
        <v>2</v>
      </c>
      <c r="BL1" s="244"/>
      <c r="BM1" s="244"/>
      <c r="BN1" s="244"/>
      <c r="BO1" s="245" t="s">
        <v>3</v>
      </c>
      <c r="BP1" s="245"/>
      <c r="BQ1" s="245"/>
      <c r="BR1" s="245"/>
      <c r="BS1" s="244" t="s">
        <v>4</v>
      </c>
      <c r="BT1" s="244"/>
      <c r="BU1" s="244"/>
      <c r="BV1" s="244"/>
      <c r="BW1" s="245" t="s">
        <v>5</v>
      </c>
      <c r="BX1" s="245"/>
      <c r="BY1" s="245"/>
      <c r="BZ1" s="245"/>
      <c r="CA1" s="244" t="s">
        <v>145</v>
      </c>
      <c r="CB1" s="244"/>
      <c r="CC1" s="244"/>
      <c r="CD1" s="244"/>
      <c r="CE1" s="245" t="s">
        <v>166</v>
      </c>
      <c r="CF1" s="245"/>
      <c r="CG1" s="245"/>
      <c r="CH1" s="245"/>
      <c r="CI1" s="244" t="s">
        <v>6</v>
      </c>
      <c r="CJ1" s="244"/>
      <c r="CK1" s="244"/>
      <c r="CL1" s="244"/>
      <c r="CM1" s="246" t="s">
        <v>7</v>
      </c>
      <c r="CN1" s="246"/>
      <c r="CO1" s="246"/>
      <c r="CP1" s="246"/>
      <c r="CQ1" s="247" t="s">
        <v>419</v>
      </c>
      <c r="CR1" s="247"/>
      <c r="CS1" s="247"/>
      <c r="CT1" s="247"/>
      <c r="CU1" s="246" t="s">
        <v>33</v>
      </c>
      <c r="CV1" s="246"/>
      <c r="CW1" s="246"/>
      <c r="CX1" s="246"/>
      <c r="CY1" s="247" t="s">
        <v>423</v>
      </c>
      <c r="CZ1" s="247"/>
      <c r="DA1" s="247"/>
      <c r="DB1" s="247"/>
      <c r="DC1" s="248" t="s">
        <v>422</v>
      </c>
      <c r="DD1" s="248"/>
      <c r="DE1" s="248"/>
      <c r="DF1" s="248"/>
      <c r="DG1" s="247" t="s">
        <v>8</v>
      </c>
      <c r="DH1" s="247"/>
      <c r="DI1" s="247"/>
      <c r="DJ1" s="247"/>
      <c r="DK1" s="245" t="s">
        <v>165</v>
      </c>
      <c r="DL1" s="245"/>
      <c r="DM1" s="245"/>
      <c r="DN1" s="245"/>
      <c r="DO1" s="244" t="s">
        <v>9</v>
      </c>
      <c r="DP1" s="244"/>
      <c r="DQ1" s="244"/>
      <c r="DR1" s="244"/>
      <c r="DS1" s="245" t="s">
        <v>420</v>
      </c>
      <c r="DT1" s="245"/>
      <c r="DU1" s="245"/>
      <c r="DV1" s="245"/>
      <c r="DW1" s="244" t="s">
        <v>421</v>
      </c>
      <c r="DX1" s="244"/>
      <c r="DY1" s="244"/>
      <c r="DZ1" s="244"/>
      <c r="EA1" s="244"/>
      <c r="EB1" s="246" t="s">
        <v>10</v>
      </c>
      <c r="EC1" s="246"/>
      <c r="ED1" s="246"/>
      <c r="EE1" s="246"/>
      <c r="EF1" s="244" t="s">
        <v>11</v>
      </c>
      <c r="EG1" s="244"/>
      <c r="EH1" s="244"/>
      <c r="EI1" s="244"/>
      <c r="EJ1" s="248" t="s">
        <v>506</v>
      </c>
      <c r="EK1" s="248"/>
      <c r="EL1" s="248"/>
      <c r="EM1" s="248"/>
      <c r="EN1" s="248"/>
      <c r="EO1" s="244" t="s">
        <v>12</v>
      </c>
      <c r="EP1" s="244"/>
      <c r="EQ1" s="244"/>
      <c r="ER1" s="244"/>
      <c r="ES1" s="245" t="s">
        <v>13</v>
      </c>
      <c r="ET1" s="245"/>
      <c r="EU1" s="245"/>
      <c r="EV1" s="245"/>
      <c r="EW1" s="244" t="s">
        <v>486</v>
      </c>
      <c r="EX1" s="244"/>
      <c r="EY1" s="244"/>
      <c r="EZ1" s="244"/>
      <c r="FA1" s="245" t="s">
        <v>487</v>
      </c>
      <c r="FB1" s="245"/>
      <c r="FC1" s="245"/>
      <c r="FD1" s="245"/>
      <c r="FE1" s="244" t="s">
        <v>15</v>
      </c>
      <c r="FF1" s="244"/>
      <c r="FG1" s="244"/>
      <c r="FH1" s="244"/>
      <c r="FI1" s="245" t="s">
        <v>19</v>
      </c>
      <c r="FJ1" s="245"/>
      <c r="FK1" s="245"/>
      <c r="FL1" s="245"/>
      <c r="FM1" s="244" t="s">
        <v>14</v>
      </c>
      <c r="FN1" s="244"/>
      <c r="FO1" s="244"/>
      <c r="FP1" s="244"/>
      <c r="FQ1" s="245" t="s">
        <v>18</v>
      </c>
      <c r="FR1" s="245"/>
      <c r="FS1" s="245"/>
      <c r="FT1" s="245"/>
      <c r="FU1" s="244" t="s">
        <v>16</v>
      </c>
      <c r="FV1" s="244"/>
      <c r="FW1" s="244"/>
      <c r="FX1" s="244"/>
      <c r="FY1" s="245" t="s">
        <v>20</v>
      </c>
      <c r="FZ1" s="245"/>
      <c r="GA1" s="245"/>
      <c r="GB1" s="245"/>
      <c r="GC1" s="244" t="s">
        <v>17</v>
      </c>
      <c r="GD1" s="244"/>
      <c r="GE1" s="244"/>
      <c r="GF1" s="244"/>
      <c r="GG1" s="245" t="s">
        <v>21</v>
      </c>
      <c r="GH1" s="245"/>
      <c r="GI1" s="245"/>
      <c r="GJ1" s="245"/>
      <c r="GK1" s="241"/>
      <c r="GL1" s="214" t="s">
        <v>426</v>
      </c>
      <c r="GM1" s="214"/>
      <c r="GN1" s="214"/>
      <c r="GO1" s="214"/>
      <c r="GP1" s="214"/>
      <c r="GQ1" s="214"/>
      <c r="GR1" s="214"/>
      <c r="GS1" s="214"/>
      <c r="GT1" s="214"/>
      <c r="GU1" s="214"/>
      <c r="GV1" s="214"/>
      <c r="GW1" s="214"/>
      <c r="GX1" s="214"/>
      <c r="GY1" s="214"/>
      <c r="GZ1" s="249"/>
      <c r="HA1" s="249"/>
      <c r="HB1" s="249"/>
      <c r="HC1" s="249"/>
      <c r="HD1" s="249"/>
      <c r="HE1" s="214"/>
      <c r="HF1" s="214"/>
      <c r="HG1" s="214"/>
      <c r="HH1" s="214"/>
      <c r="HI1" s="214"/>
      <c r="HJ1" s="214"/>
      <c r="HK1" s="214"/>
      <c r="HL1" s="214"/>
      <c r="HM1" s="214"/>
      <c r="HN1" s="214"/>
      <c r="HO1" s="214"/>
      <c r="HP1" s="214"/>
      <c r="HQ1" s="214"/>
      <c r="HR1" s="214"/>
      <c r="HS1" s="214"/>
      <c r="HT1" s="214"/>
      <c r="HU1" s="214"/>
      <c r="HV1" s="214"/>
      <c r="HW1" s="214"/>
      <c r="HX1" s="214"/>
      <c r="HY1" s="214"/>
      <c r="HZ1" s="214"/>
    </row>
    <row r="2" spans="1:253" s="165" customFormat="1" ht="15" customHeight="1" x14ac:dyDescent="0.2">
      <c r="A2" s="165" t="s">
        <v>23</v>
      </c>
      <c r="B2" s="166" t="s">
        <v>24</v>
      </c>
      <c r="C2" s="167">
        <v>2013</v>
      </c>
      <c r="D2" s="167">
        <v>2014</v>
      </c>
      <c r="E2" s="167">
        <v>2015</v>
      </c>
      <c r="F2" s="167">
        <v>2016</v>
      </c>
      <c r="G2" s="167">
        <v>2017</v>
      </c>
      <c r="H2" s="167" t="s">
        <v>25</v>
      </c>
      <c r="I2" s="167" t="s">
        <v>26</v>
      </c>
      <c r="J2" s="167" t="s">
        <v>27</v>
      </c>
      <c r="K2" s="167" t="s">
        <v>28</v>
      </c>
      <c r="L2" s="167" t="s">
        <v>29</v>
      </c>
      <c r="M2" s="168">
        <v>2013</v>
      </c>
      <c r="N2" s="168">
        <v>2014</v>
      </c>
      <c r="O2" s="168">
        <v>2015</v>
      </c>
      <c r="P2" s="168">
        <v>2016</v>
      </c>
      <c r="Q2" s="168">
        <v>2017</v>
      </c>
      <c r="R2" s="168">
        <v>2013</v>
      </c>
      <c r="S2" s="168">
        <v>2014</v>
      </c>
      <c r="T2" s="168">
        <v>2015</v>
      </c>
      <c r="U2" s="168">
        <v>2016</v>
      </c>
      <c r="V2" s="168">
        <v>2017</v>
      </c>
      <c r="W2" s="168">
        <v>2013</v>
      </c>
      <c r="X2" s="168">
        <v>2014</v>
      </c>
      <c r="Y2" s="168">
        <v>2015</v>
      </c>
      <c r="Z2" s="168">
        <v>2016</v>
      </c>
      <c r="AA2" s="168">
        <v>2017</v>
      </c>
      <c r="AB2" s="168">
        <v>2013</v>
      </c>
      <c r="AC2" s="168">
        <v>2014</v>
      </c>
      <c r="AD2" s="168">
        <v>2015</v>
      </c>
      <c r="AE2" s="168">
        <v>2016</v>
      </c>
      <c r="AF2" s="168">
        <v>2017</v>
      </c>
      <c r="AG2" s="168">
        <v>2013</v>
      </c>
      <c r="AH2" s="168">
        <v>2014</v>
      </c>
      <c r="AI2" s="168">
        <v>2015</v>
      </c>
      <c r="AJ2" s="168">
        <v>2016</v>
      </c>
      <c r="AK2" s="168">
        <v>2017</v>
      </c>
      <c r="AL2" s="168">
        <v>2013</v>
      </c>
      <c r="AM2" s="168">
        <v>2014</v>
      </c>
      <c r="AN2" s="168">
        <v>2015</v>
      </c>
      <c r="AO2" s="168">
        <v>2016</v>
      </c>
      <c r="AP2" s="168">
        <v>2017</v>
      </c>
      <c r="AQ2" s="168">
        <v>2013</v>
      </c>
      <c r="AR2" s="168">
        <v>2014</v>
      </c>
      <c r="AS2" s="168">
        <v>2015</v>
      </c>
      <c r="AT2" s="168">
        <v>2016</v>
      </c>
      <c r="AU2" s="168">
        <v>2017</v>
      </c>
      <c r="AV2" s="168">
        <v>2013</v>
      </c>
      <c r="AW2" s="168">
        <v>2014</v>
      </c>
      <c r="AX2" s="168">
        <v>2015</v>
      </c>
      <c r="AY2" s="168">
        <v>2016</v>
      </c>
      <c r="AZ2" s="168">
        <v>2017</v>
      </c>
      <c r="BA2" s="168">
        <v>2013</v>
      </c>
      <c r="BB2" s="168">
        <v>2014</v>
      </c>
      <c r="BC2" s="168">
        <v>2015</v>
      </c>
      <c r="BD2" s="168">
        <v>2016</v>
      </c>
      <c r="BE2" s="168">
        <v>2017</v>
      </c>
      <c r="BF2" s="168">
        <v>2013</v>
      </c>
      <c r="BG2" s="168">
        <v>2014</v>
      </c>
      <c r="BH2" s="168">
        <v>2015</v>
      </c>
      <c r="BI2" s="168">
        <v>2016</v>
      </c>
      <c r="BJ2" s="168">
        <v>2017</v>
      </c>
      <c r="BK2" s="168" t="s">
        <v>478</v>
      </c>
      <c r="BL2" s="168" t="s">
        <v>480</v>
      </c>
      <c r="BM2" s="168" t="s">
        <v>482</v>
      </c>
      <c r="BN2" s="168" t="s">
        <v>496</v>
      </c>
      <c r="BO2" s="168" t="s">
        <v>478</v>
      </c>
      <c r="BP2" s="168" t="s">
        <v>480</v>
      </c>
      <c r="BQ2" s="168" t="s">
        <v>483</v>
      </c>
      <c r="BR2" s="168" t="s">
        <v>497</v>
      </c>
      <c r="BS2" s="168" t="s">
        <v>478</v>
      </c>
      <c r="BT2" s="168" t="s">
        <v>480</v>
      </c>
      <c r="BU2" s="168" t="s">
        <v>482</v>
      </c>
      <c r="BV2" s="168" t="s">
        <v>496</v>
      </c>
      <c r="BW2" s="168" t="s">
        <v>478</v>
      </c>
      <c r="BX2" s="168" t="s">
        <v>480</v>
      </c>
      <c r="BY2" s="168" t="s">
        <v>482</v>
      </c>
      <c r="BZ2" s="168" t="s">
        <v>496</v>
      </c>
      <c r="CA2" s="237" t="s">
        <v>478</v>
      </c>
      <c r="CB2" s="237" t="s">
        <v>480</v>
      </c>
      <c r="CC2" s="237" t="s">
        <v>482</v>
      </c>
      <c r="CD2" s="237" t="s">
        <v>496</v>
      </c>
      <c r="CE2" s="237" t="s">
        <v>478</v>
      </c>
      <c r="CF2" s="237" t="s">
        <v>480</v>
      </c>
      <c r="CG2" s="237" t="s">
        <v>482</v>
      </c>
      <c r="CH2" s="237" t="s">
        <v>496</v>
      </c>
      <c r="CI2" s="169" t="s">
        <v>498</v>
      </c>
      <c r="CJ2" s="169" t="s">
        <v>499</v>
      </c>
      <c r="CK2" s="169" t="s">
        <v>500</v>
      </c>
      <c r="CL2" s="169" t="s">
        <v>501</v>
      </c>
      <c r="CM2" s="169" t="s">
        <v>498</v>
      </c>
      <c r="CN2" s="169" t="s">
        <v>499</v>
      </c>
      <c r="CO2" s="169" t="s">
        <v>500</v>
      </c>
      <c r="CP2" s="169" t="s">
        <v>501</v>
      </c>
      <c r="CQ2" s="169" t="s">
        <v>498</v>
      </c>
      <c r="CR2" s="169" t="s">
        <v>499</v>
      </c>
      <c r="CS2" s="169" t="s">
        <v>500</v>
      </c>
      <c r="CT2" s="169" t="s">
        <v>501</v>
      </c>
      <c r="CU2" s="169" t="s">
        <v>498</v>
      </c>
      <c r="CV2" s="169" t="s">
        <v>499</v>
      </c>
      <c r="CW2" s="169" t="s">
        <v>500</v>
      </c>
      <c r="CX2" s="169" t="s">
        <v>501</v>
      </c>
      <c r="CY2" s="169" t="s">
        <v>498</v>
      </c>
      <c r="CZ2" s="169" t="s">
        <v>499</v>
      </c>
      <c r="DA2" s="169" t="s">
        <v>500</v>
      </c>
      <c r="DB2" s="169" t="s">
        <v>501</v>
      </c>
      <c r="DC2" s="169" t="s">
        <v>498</v>
      </c>
      <c r="DD2" s="169" t="s">
        <v>499</v>
      </c>
      <c r="DE2" s="169" t="s">
        <v>500</v>
      </c>
      <c r="DF2" s="169" t="s">
        <v>501</v>
      </c>
      <c r="DG2" s="169" t="s">
        <v>498</v>
      </c>
      <c r="DH2" s="169" t="s">
        <v>499</v>
      </c>
      <c r="DI2" s="169" t="s">
        <v>500</v>
      </c>
      <c r="DJ2" s="169" t="s">
        <v>501</v>
      </c>
      <c r="DK2" s="169" t="s">
        <v>498</v>
      </c>
      <c r="DL2" s="169" t="s">
        <v>499</v>
      </c>
      <c r="DM2" s="169" t="s">
        <v>500</v>
      </c>
      <c r="DN2" s="169" t="s">
        <v>501</v>
      </c>
      <c r="DO2" s="169" t="s">
        <v>498</v>
      </c>
      <c r="DP2" s="169" t="s">
        <v>499</v>
      </c>
      <c r="DQ2" s="169" t="s">
        <v>500</v>
      </c>
      <c r="DR2" s="169" t="s">
        <v>501</v>
      </c>
      <c r="DS2" s="169" t="s">
        <v>498</v>
      </c>
      <c r="DT2" s="169" t="s">
        <v>499</v>
      </c>
      <c r="DU2" s="169" t="s">
        <v>500</v>
      </c>
      <c r="DV2" s="169" t="s">
        <v>501</v>
      </c>
      <c r="DW2" s="168" t="s">
        <v>25</v>
      </c>
      <c r="DX2" s="168" t="s">
        <v>30</v>
      </c>
      <c r="DY2" s="170" t="s">
        <v>31</v>
      </c>
      <c r="DZ2" s="170" t="s">
        <v>28</v>
      </c>
      <c r="EA2" s="170" t="s">
        <v>424</v>
      </c>
      <c r="EB2" s="171" t="s">
        <v>502</v>
      </c>
      <c r="EC2" s="171" t="s">
        <v>503</v>
      </c>
      <c r="ED2" s="171" t="s">
        <v>504</v>
      </c>
      <c r="EE2" s="171" t="s">
        <v>505</v>
      </c>
      <c r="EF2" s="169" t="s">
        <v>498</v>
      </c>
      <c r="EG2" s="169" t="s">
        <v>499</v>
      </c>
      <c r="EH2" s="169" t="s">
        <v>500</v>
      </c>
      <c r="EI2" s="169" t="s">
        <v>501</v>
      </c>
      <c r="EJ2" s="170" t="s">
        <v>25</v>
      </c>
      <c r="EK2" s="170" t="s">
        <v>30</v>
      </c>
      <c r="EL2" s="170" t="s">
        <v>31</v>
      </c>
      <c r="EM2" s="170" t="s">
        <v>425</v>
      </c>
      <c r="EN2" s="170" t="s">
        <v>29</v>
      </c>
      <c r="EO2" s="169" t="s">
        <v>498</v>
      </c>
      <c r="EP2" s="169" t="s">
        <v>499</v>
      </c>
      <c r="EQ2" s="169" t="s">
        <v>500</v>
      </c>
      <c r="ER2" s="169" t="s">
        <v>501</v>
      </c>
      <c r="ES2" s="169" t="s">
        <v>498</v>
      </c>
      <c r="ET2" s="169" t="s">
        <v>499</v>
      </c>
      <c r="EU2" s="169" t="s">
        <v>500</v>
      </c>
      <c r="EV2" s="169" t="s">
        <v>501</v>
      </c>
      <c r="EW2" s="169" t="s">
        <v>498</v>
      </c>
      <c r="EX2" s="169" t="s">
        <v>499</v>
      </c>
      <c r="EY2" s="169" t="s">
        <v>500</v>
      </c>
      <c r="EZ2" s="169" t="s">
        <v>501</v>
      </c>
      <c r="FA2" s="169" t="s">
        <v>498</v>
      </c>
      <c r="FB2" s="169" t="s">
        <v>499</v>
      </c>
      <c r="FC2" s="169" t="s">
        <v>500</v>
      </c>
      <c r="FD2" s="169" t="s">
        <v>501</v>
      </c>
      <c r="FE2" s="169" t="s">
        <v>498</v>
      </c>
      <c r="FF2" s="169" t="s">
        <v>499</v>
      </c>
      <c r="FG2" s="169" t="s">
        <v>500</v>
      </c>
      <c r="FH2" s="169" t="s">
        <v>501</v>
      </c>
      <c r="FI2" s="169" t="s">
        <v>498</v>
      </c>
      <c r="FJ2" s="169" t="s">
        <v>499</v>
      </c>
      <c r="FK2" s="169" t="s">
        <v>500</v>
      </c>
      <c r="FL2" s="169" t="s">
        <v>501</v>
      </c>
      <c r="FM2" s="169" t="s">
        <v>498</v>
      </c>
      <c r="FN2" s="169" t="s">
        <v>499</v>
      </c>
      <c r="FO2" s="169" t="s">
        <v>500</v>
      </c>
      <c r="FP2" s="169" t="s">
        <v>501</v>
      </c>
      <c r="FQ2" s="169" t="s">
        <v>498</v>
      </c>
      <c r="FR2" s="169" t="s">
        <v>499</v>
      </c>
      <c r="FS2" s="169" t="s">
        <v>500</v>
      </c>
      <c r="FT2" s="169" t="s">
        <v>501</v>
      </c>
      <c r="FU2" s="169" t="s">
        <v>498</v>
      </c>
      <c r="FV2" s="169" t="s">
        <v>499</v>
      </c>
      <c r="FW2" s="169" t="s">
        <v>500</v>
      </c>
      <c r="FX2" s="169" t="s">
        <v>501</v>
      </c>
      <c r="FY2" s="169" t="s">
        <v>498</v>
      </c>
      <c r="FZ2" s="169" t="s">
        <v>499</v>
      </c>
      <c r="GA2" s="169" t="s">
        <v>500</v>
      </c>
      <c r="GB2" s="169" t="s">
        <v>501</v>
      </c>
      <c r="GC2" s="169" t="s">
        <v>498</v>
      </c>
      <c r="GD2" s="169" t="s">
        <v>499</v>
      </c>
      <c r="GE2" s="169" t="s">
        <v>500</v>
      </c>
      <c r="GF2" s="169" t="s">
        <v>501</v>
      </c>
      <c r="GG2" s="169" t="s">
        <v>498</v>
      </c>
      <c r="GH2" s="169" t="s">
        <v>499</v>
      </c>
      <c r="GI2" s="169" t="s">
        <v>500</v>
      </c>
      <c r="GJ2" s="169" t="s">
        <v>501</v>
      </c>
      <c r="GK2" s="184"/>
      <c r="GL2" s="172"/>
      <c r="GM2" s="172"/>
      <c r="GN2" s="172"/>
      <c r="GO2" s="172"/>
      <c r="GP2" s="172"/>
      <c r="GQ2" s="172"/>
      <c r="GR2" s="172"/>
      <c r="GS2" s="172"/>
      <c r="GT2" s="172"/>
      <c r="GU2" s="172"/>
      <c r="GV2" s="172"/>
      <c r="GW2" s="172"/>
      <c r="GX2" s="172"/>
      <c r="GY2" s="172"/>
      <c r="GZ2" s="172"/>
      <c r="HA2" s="172"/>
      <c r="HB2" s="172"/>
      <c r="HC2" s="172"/>
      <c r="HD2" s="172"/>
      <c r="HE2" s="172"/>
      <c r="HF2" s="172"/>
      <c r="HG2" s="172"/>
      <c r="HH2" s="172"/>
      <c r="HI2" s="172"/>
      <c r="HJ2" s="172"/>
      <c r="HK2" s="172"/>
      <c r="HL2" s="172"/>
      <c r="HM2" s="172"/>
      <c r="HN2" s="172"/>
      <c r="HO2" s="172"/>
      <c r="HP2" s="172"/>
      <c r="HQ2" s="172"/>
      <c r="HR2" s="172"/>
      <c r="HS2" s="172"/>
      <c r="HT2" s="172"/>
      <c r="HU2" s="172"/>
      <c r="HV2" s="172"/>
      <c r="HW2" s="172"/>
      <c r="HX2" s="172"/>
      <c r="HY2" s="172"/>
      <c r="HZ2" s="172"/>
    </row>
    <row r="3" spans="1:253" x14ac:dyDescent="0.2">
      <c r="A3" s="128">
        <v>0</v>
      </c>
      <c r="B3" s="129" t="s">
        <v>22</v>
      </c>
      <c r="C3" s="117">
        <v>5420380</v>
      </c>
      <c r="D3" s="117">
        <v>5457173</v>
      </c>
      <c r="E3" s="117">
        <v>5489594</v>
      </c>
      <c r="F3" s="117">
        <v>5519952</v>
      </c>
      <c r="G3" s="151">
        <f>SUM(G4:G90)</f>
        <v>5576606</v>
      </c>
      <c r="H3" s="155">
        <v>4519243</v>
      </c>
      <c r="I3" s="155">
        <v>390257</v>
      </c>
      <c r="J3" s="155">
        <v>68049</v>
      </c>
      <c r="K3" s="155">
        <v>297650</v>
      </c>
      <c r="L3" s="155">
        <v>301407</v>
      </c>
      <c r="M3" s="37">
        <v>2132670</v>
      </c>
      <c r="N3" s="37">
        <v>2149023</v>
      </c>
      <c r="O3" s="37">
        <v>2163531</v>
      </c>
      <c r="P3" s="37">
        <v>2185172</v>
      </c>
      <c r="Q3" s="37">
        <f>SUM(Q4:Q90)</f>
        <v>2201400</v>
      </c>
      <c r="R3" s="50">
        <v>21</v>
      </c>
      <c r="S3" s="50">
        <v>21.6</v>
      </c>
      <c r="T3" s="50">
        <v>22.291499999999999</v>
      </c>
      <c r="U3" s="50">
        <v>23.023266493781271</v>
      </c>
      <c r="V3" s="50">
        <v>23.673309544685726</v>
      </c>
      <c r="W3" s="38">
        <v>29.6</v>
      </c>
      <c r="X3" s="38">
        <v>29.6</v>
      </c>
      <c r="Y3" s="38">
        <v>29.601209255017675</v>
      </c>
      <c r="Z3" s="38">
        <v>29.684075639481389</v>
      </c>
      <c r="AA3" s="38">
        <v>29.797207558427218</v>
      </c>
      <c r="AB3" s="50">
        <v>50.6</v>
      </c>
      <c r="AC3" s="50">
        <v>51.2</v>
      </c>
      <c r="AD3" s="50">
        <v>51.892712096921912</v>
      </c>
      <c r="AE3" s="50">
        <v>52.707342133262657</v>
      </c>
      <c r="AF3" s="50">
        <v>53.470517103112947</v>
      </c>
      <c r="AG3" s="40">
        <v>5.0999999999999996</v>
      </c>
      <c r="AH3" s="40">
        <v>4.0894991938751319</v>
      </c>
      <c r="AI3" s="40">
        <v>3.7</v>
      </c>
      <c r="AJ3" s="40">
        <v>3.8300533214341042</v>
      </c>
      <c r="AK3" s="198">
        <v>3.6</v>
      </c>
      <c r="AL3" s="37">
        <v>259246</v>
      </c>
      <c r="AM3" s="37">
        <v>235789</v>
      </c>
      <c r="AN3" s="37">
        <v>222327.83333333328</v>
      </c>
      <c r="AO3" s="37">
        <v>215155.33333333331</v>
      </c>
      <c r="AP3" s="37">
        <v>209265.08333333334</v>
      </c>
      <c r="AQ3" s="190">
        <v>49615.339794752108</v>
      </c>
      <c r="AR3" s="190">
        <v>51213.19650863389</v>
      </c>
      <c r="AS3" s="190">
        <v>53192.193497962129</v>
      </c>
      <c r="AT3" s="190">
        <v>53599.615226726615</v>
      </c>
      <c r="AU3" s="190">
        <v>55989.770000000004</v>
      </c>
      <c r="AV3" s="161">
        <v>61769.4</v>
      </c>
      <c r="AW3" s="161">
        <v>63090.560000000005</v>
      </c>
      <c r="AX3" s="161">
        <v>63931.920000000006</v>
      </c>
      <c r="AY3" s="161">
        <v>65362.770000000004</v>
      </c>
      <c r="AZ3" s="161">
        <v>68364</v>
      </c>
      <c r="BA3" s="41">
        <v>11.2</v>
      </c>
      <c r="BB3" s="41">
        <v>11.4</v>
      </c>
      <c r="BC3" s="41">
        <v>10.199999999999999</v>
      </c>
      <c r="BD3" s="41">
        <v>9.9</v>
      </c>
      <c r="BE3" s="41">
        <v>9.5</v>
      </c>
      <c r="BF3" s="41">
        <v>14</v>
      </c>
      <c r="BG3" s="41">
        <v>14.8</v>
      </c>
      <c r="BH3" s="41">
        <v>13.1</v>
      </c>
      <c r="BI3" s="41">
        <v>12.5</v>
      </c>
      <c r="BJ3" s="41">
        <v>11.7</v>
      </c>
      <c r="BK3" s="37">
        <v>857039</v>
      </c>
      <c r="BL3" s="37">
        <v>864185</v>
      </c>
      <c r="BM3" s="37">
        <v>855867</v>
      </c>
      <c r="BN3" s="37">
        <v>884666</v>
      </c>
      <c r="BO3" s="40">
        <v>38.32987763684033</v>
      </c>
      <c r="BP3" s="40">
        <v>38.125285673785129</v>
      </c>
      <c r="BQ3" s="40">
        <v>37.643231950758704</v>
      </c>
      <c r="BR3" s="40">
        <v>37.193810997596835</v>
      </c>
      <c r="BS3" s="50">
        <v>8.2585506610550983</v>
      </c>
      <c r="BT3" s="50">
        <v>8.3038932635951799</v>
      </c>
      <c r="BU3" s="50">
        <v>8.4030579517611965</v>
      </c>
      <c r="BV3" s="50">
        <v>8.335801308064287</v>
      </c>
      <c r="BW3" s="40">
        <v>14.945410885618974</v>
      </c>
      <c r="BX3" s="40">
        <v>15.116323472404636</v>
      </c>
      <c r="BY3" s="40">
        <v>13.825278927683858</v>
      </c>
      <c r="BZ3" s="40">
        <v>15.688519735131676</v>
      </c>
      <c r="CA3" s="40">
        <v>82.084009155815608</v>
      </c>
      <c r="CB3" s="40">
        <v>82.517130343217303</v>
      </c>
      <c r="CC3" s="40">
        <v>82.68</v>
      </c>
      <c r="CD3" s="40">
        <v>83.2</v>
      </c>
      <c r="CE3" s="40">
        <v>4.1367915232912429</v>
      </c>
      <c r="CF3" s="40">
        <v>5.4768060836501897</v>
      </c>
      <c r="CG3" s="40">
        <v>4.6900000000000004</v>
      </c>
      <c r="CH3" s="40">
        <v>4.5599999999999996</v>
      </c>
      <c r="CI3" s="37">
        <v>333265</v>
      </c>
      <c r="CJ3" s="37">
        <v>358777</v>
      </c>
      <c r="CK3" s="37">
        <v>348605</v>
      </c>
      <c r="CL3" s="37">
        <v>347279</v>
      </c>
      <c r="CM3" s="40">
        <v>13.644611075666516</v>
      </c>
      <c r="CN3" s="40">
        <v>17.417645254292804</v>
      </c>
      <c r="CO3" s="40">
        <v>13.147695761705318</v>
      </c>
      <c r="CP3" s="40">
        <v>12.645016395275146</v>
      </c>
      <c r="CQ3" s="37">
        <v>14570</v>
      </c>
      <c r="CR3" s="37">
        <v>16822</v>
      </c>
      <c r="CS3" s="37">
        <v>16148</v>
      </c>
      <c r="CT3" s="37">
        <v>16474</v>
      </c>
      <c r="CU3" s="40">
        <v>4.5256331413876003</v>
      </c>
      <c r="CV3" s="40">
        <v>4.8565357231535007</v>
      </c>
      <c r="CW3" s="40">
        <v>4.8046225300735212</v>
      </c>
      <c r="CX3" s="40">
        <v>4.9106198040402171</v>
      </c>
      <c r="CY3" s="37">
        <v>21694</v>
      </c>
      <c r="CZ3" s="37">
        <v>25744</v>
      </c>
      <c r="DA3" s="37">
        <v>23429</v>
      </c>
      <c r="DB3" s="37">
        <v>22854</v>
      </c>
      <c r="DC3" s="40">
        <v>7.571441178894041</v>
      </c>
      <c r="DD3" s="40">
        <v>8.3964598333432914</v>
      </c>
      <c r="DE3" s="40">
        <v>7.453242759128428</v>
      </c>
      <c r="DF3" s="40">
        <v>6.8323579863474908</v>
      </c>
      <c r="DG3" s="40">
        <v>84.81470548925877</v>
      </c>
      <c r="DH3" s="40">
        <v>86.273154493302911</v>
      </c>
      <c r="DI3" s="40">
        <v>85.326799852033147</v>
      </c>
      <c r="DJ3" s="40">
        <v>81.97516113926136</v>
      </c>
      <c r="DK3" s="40">
        <v>11.363090927546772</v>
      </c>
      <c r="DL3" s="40">
        <v>9.680756627539429</v>
      </c>
      <c r="DM3" s="40">
        <v>10.462525798533894</v>
      </c>
      <c r="DN3" s="40">
        <v>9.3264124221596774</v>
      </c>
      <c r="DO3" s="40">
        <v>26.092216494492693</v>
      </c>
      <c r="DP3" s="40">
        <v>30.163156066648583</v>
      </c>
      <c r="DQ3" s="40">
        <v>33.18077676555091</v>
      </c>
      <c r="DR3" s="40">
        <v>32.326043617356738</v>
      </c>
      <c r="DS3" s="40">
        <v>29.058164670026237</v>
      </c>
      <c r="DT3" s="40">
        <v>27.118241579087421</v>
      </c>
      <c r="DU3" s="40">
        <v>22.365081557475968</v>
      </c>
      <c r="DV3" s="40">
        <v>14.163637722559969</v>
      </c>
      <c r="DW3" s="43">
        <v>47887</v>
      </c>
      <c r="DX3" s="43">
        <v>8663</v>
      </c>
      <c r="DY3" s="15">
        <v>1197</v>
      </c>
      <c r="DZ3" s="43">
        <v>5492</v>
      </c>
      <c r="EA3" s="43">
        <v>4894</v>
      </c>
      <c r="EB3" s="43">
        <f>SUM(EB4:EB90)</f>
        <v>1888</v>
      </c>
      <c r="EC3" s="43">
        <f t="shared" ref="EC3:EE3" si="0">SUM(EC4:EC90)</f>
        <v>1747</v>
      </c>
      <c r="ED3" s="43">
        <f t="shared" si="0"/>
        <v>1785</v>
      </c>
      <c r="EE3" s="43">
        <f t="shared" si="0"/>
        <v>1757</v>
      </c>
      <c r="EF3" s="101">
        <v>189149</v>
      </c>
      <c r="EG3" s="101">
        <v>186143</v>
      </c>
      <c r="EH3" s="101">
        <v>194887</v>
      </c>
      <c r="EI3" s="101">
        <v>212279</v>
      </c>
      <c r="EJ3" s="173">
        <v>41035</v>
      </c>
      <c r="EK3" s="173">
        <v>1444</v>
      </c>
      <c r="EL3" s="174">
        <v>652</v>
      </c>
      <c r="EM3" s="174">
        <v>757</v>
      </c>
      <c r="EN3" s="174">
        <v>403</v>
      </c>
      <c r="EO3" s="40">
        <v>768.97980456873586</v>
      </c>
      <c r="EP3" s="40">
        <v>725.30796549796707</v>
      </c>
      <c r="EQ3" s="40">
        <v>734.87841551303984</v>
      </c>
      <c r="ER3" s="40">
        <v>773.51804158923221</v>
      </c>
      <c r="ES3" s="40">
        <v>763.77200000000005</v>
      </c>
      <c r="ET3" s="40">
        <v>678.8</v>
      </c>
      <c r="EU3" s="40">
        <v>662.13199999999995</v>
      </c>
      <c r="EV3" s="40">
        <v>650.25699999999995</v>
      </c>
      <c r="EW3" s="40">
        <v>937.82500000000005</v>
      </c>
      <c r="EX3" s="40">
        <v>816.02800000000002</v>
      </c>
      <c r="EY3" s="40">
        <v>784.3</v>
      </c>
      <c r="EZ3" s="40">
        <v>761.74099999999999</v>
      </c>
      <c r="FA3" s="40">
        <v>638.34699999999998</v>
      </c>
      <c r="FB3" s="40">
        <v>573.54999999999995</v>
      </c>
      <c r="FC3" s="40">
        <v>564.96199999999999</v>
      </c>
      <c r="FD3" s="40">
        <v>557.61400000000003</v>
      </c>
      <c r="FE3" s="37">
        <v>44972</v>
      </c>
      <c r="FF3" s="37">
        <v>45328</v>
      </c>
      <c r="FG3" s="37">
        <v>47511</v>
      </c>
      <c r="FH3" s="37">
        <v>48835</v>
      </c>
      <c r="FI3" s="40">
        <v>187.35</v>
      </c>
      <c r="FJ3" s="40">
        <v>172.643</v>
      </c>
      <c r="FK3" s="40">
        <v>165.18100000000001</v>
      </c>
      <c r="FL3" s="40">
        <v>151.01300000000001</v>
      </c>
      <c r="FM3" s="37">
        <v>45015</v>
      </c>
      <c r="FN3" s="37">
        <v>39035</v>
      </c>
      <c r="FO3" s="37">
        <v>36521</v>
      </c>
      <c r="FP3" s="37">
        <v>39084</v>
      </c>
      <c r="FQ3" s="40">
        <v>180.19300000000001</v>
      </c>
      <c r="FR3" s="40">
        <v>139.21799999999999</v>
      </c>
      <c r="FS3" s="40">
        <v>121.54900000000001</v>
      </c>
      <c r="FT3" s="40">
        <v>116.79900000000001</v>
      </c>
      <c r="FU3" s="43">
        <v>14016</v>
      </c>
      <c r="FV3" s="43">
        <v>11757</v>
      </c>
      <c r="FW3" s="43">
        <v>10479</v>
      </c>
      <c r="FX3" s="43">
        <v>10895</v>
      </c>
      <c r="FY3" s="40">
        <v>55.384</v>
      </c>
      <c r="FZ3" s="40">
        <v>41.688000000000002</v>
      </c>
      <c r="GA3" s="40">
        <v>34.906999999999996</v>
      </c>
      <c r="GB3" s="40">
        <v>32.726999999999997</v>
      </c>
      <c r="GC3" s="149">
        <v>8913</v>
      </c>
      <c r="GD3" s="149">
        <v>9653</v>
      </c>
      <c r="GE3" s="149">
        <v>10785</v>
      </c>
      <c r="GF3" s="149">
        <v>12985</v>
      </c>
      <c r="GG3" s="183">
        <v>35.716999999999999</v>
      </c>
      <c r="GH3" s="183">
        <v>35.543999999999997</v>
      </c>
      <c r="GI3" s="183">
        <v>37.847999999999999</v>
      </c>
      <c r="GJ3" s="183">
        <v>42.448</v>
      </c>
      <c r="GK3" s="103"/>
      <c r="GL3" s="111">
        <v>191</v>
      </c>
      <c r="GM3" s="111">
        <v>192</v>
      </c>
      <c r="GN3" s="111">
        <v>193</v>
      </c>
      <c r="GO3" s="111">
        <v>194</v>
      </c>
      <c r="GP3" s="111">
        <v>195</v>
      </c>
      <c r="GQ3" s="111">
        <v>196</v>
      </c>
      <c r="GR3" s="111">
        <v>197</v>
      </c>
      <c r="GS3" s="111">
        <v>198</v>
      </c>
      <c r="GT3" s="111">
        <v>199</v>
      </c>
      <c r="GU3" s="111">
        <v>200</v>
      </c>
      <c r="GV3" s="111">
        <v>201</v>
      </c>
      <c r="GW3" s="111">
        <v>202</v>
      </c>
      <c r="GX3" s="111">
        <v>203</v>
      </c>
      <c r="GY3" s="111">
        <v>204</v>
      </c>
      <c r="GZ3" s="111">
        <v>205</v>
      </c>
      <c r="HA3" s="111">
        <v>206</v>
      </c>
      <c r="HB3" s="111">
        <v>207</v>
      </c>
      <c r="HC3" s="111">
        <v>208</v>
      </c>
      <c r="HD3" s="111">
        <v>209</v>
      </c>
      <c r="HE3" s="111">
        <v>210</v>
      </c>
      <c r="HF3" s="111">
        <v>211</v>
      </c>
      <c r="HG3" s="111">
        <v>212</v>
      </c>
      <c r="HH3" s="111">
        <v>213</v>
      </c>
      <c r="HI3" s="111">
        <v>214</v>
      </c>
      <c r="HJ3" s="111">
        <v>215</v>
      </c>
      <c r="HK3" s="111">
        <v>216</v>
      </c>
      <c r="HL3" s="111">
        <v>217</v>
      </c>
      <c r="HM3" s="111">
        <v>218</v>
      </c>
      <c r="HN3" s="111">
        <v>219</v>
      </c>
      <c r="HO3" s="111">
        <v>220</v>
      </c>
      <c r="HP3" s="111">
        <v>221</v>
      </c>
      <c r="HQ3" s="111">
        <v>222</v>
      </c>
      <c r="HR3" s="111">
        <v>223</v>
      </c>
      <c r="HS3" s="111">
        <v>224</v>
      </c>
      <c r="HT3" s="111">
        <v>225</v>
      </c>
      <c r="HU3" s="111">
        <v>226</v>
      </c>
      <c r="HV3" s="111">
        <v>227</v>
      </c>
      <c r="HW3" s="111">
        <v>228</v>
      </c>
      <c r="HX3" s="111">
        <v>229</v>
      </c>
      <c r="HY3" s="111">
        <v>230</v>
      </c>
      <c r="HZ3" s="111">
        <v>231</v>
      </c>
    </row>
    <row r="4" spans="1:253" x14ac:dyDescent="0.2">
      <c r="A4" s="128">
        <v>1</v>
      </c>
      <c r="B4" s="129" t="s">
        <v>48</v>
      </c>
      <c r="C4" s="117">
        <v>15742</v>
      </c>
      <c r="D4" s="117">
        <v>15771</v>
      </c>
      <c r="E4" s="117">
        <v>15702</v>
      </c>
      <c r="F4" s="117">
        <v>15583</v>
      </c>
      <c r="G4" s="151">
        <v>15829</v>
      </c>
      <c r="H4" s="155">
        <v>14970</v>
      </c>
      <c r="I4" s="155">
        <v>141</v>
      </c>
      <c r="J4" s="155">
        <v>424</v>
      </c>
      <c r="K4" s="155">
        <v>59</v>
      </c>
      <c r="L4" s="155">
        <v>235</v>
      </c>
      <c r="M4" s="37">
        <v>7156</v>
      </c>
      <c r="N4" s="37">
        <v>7164</v>
      </c>
      <c r="O4" s="37">
        <v>7194</v>
      </c>
      <c r="P4" s="37">
        <v>7178</v>
      </c>
      <c r="Q4" s="37">
        <v>7297</v>
      </c>
      <c r="R4" s="50">
        <v>52.4</v>
      </c>
      <c r="S4" s="50">
        <v>53.9</v>
      </c>
      <c r="T4" s="50">
        <v>55.008625646923512</v>
      </c>
      <c r="U4" s="50">
        <v>56.562354040168152</v>
      </c>
      <c r="V4" s="50">
        <v>60.388463802236615</v>
      </c>
      <c r="W4" s="38">
        <v>25.1</v>
      </c>
      <c r="X4" s="38">
        <v>25.4</v>
      </c>
      <c r="Y4" s="38">
        <v>25.577918343875787</v>
      </c>
      <c r="Z4" s="38">
        <v>25.397010742643623</v>
      </c>
      <c r="AA4" s="38">
        <v>25.944673337257214</v>
      </c>
      <c r="AB4" s="50">
        <v>77.5</v>
      </c>
      <c r="AC4" s="50">
        <v>79.3</v>
      </c>
      <c r="AD4" s="50">
        <v>80.586543990799314</v>
      </c>
      <c r="AE4" s="50">
        <v>81.959364782811775</v>
      </c>
      <c r="AF4" s="50">
        <v>86.333137139493815</v>
      </c>
      <c r="AG4" s="40">
        <v>7.1</v>
      </c>
      <c r="AH4" s="40">
        <v>6.4535140710181231</v>
      </c>
      <c r="AI4" s="40">
        <v>5.9900410076156998</v>
      </c>
      <c r="AJ4" s="40">
        <v>7.0155425638100679</v>
      </c>
      <c r="AK4" s="40">
        <v>6.5192903407490839</v>
      </c>
      <c r="AL4" s="37">
        <v>956.83333333333337</v>
      </c>
      <c r="AM4" s="37">
        <v>866.41666666666663</v>
      </c>
      <c r="AN4" s="37">
        <v>826.41666666666663</v>
      </c>
      <c r="AO4" s="37">
        <v>776.75</v>
      </c>
      <c r="AP4" s="37">
        <v>750.5</v>
      </c>
      <c r="AQ4" s="190">
        <v>34149.183556769807</v>
      </c>
      <c r="AR4" s="190">
        <v>37126.72063229014</v>
      </c>
      <c r="AS4" s="190">
        <v>37129.042057565894</v>
      </c>
      <c r="AT4" s="190">
        <v>38368.375794134634</v>
      </c>
      <c r="AU4" s="190">
        <v>38926.79</v>
      </c>
      <c r="AV4" s="161">
        <v>40814.550000000003</v>
      </c>
      <c r="AW4" s="161">
        <v>43455.360000000001</v>
      </c>
      <c r="AX4" s="161">
        <v>42303.040000000001</v>
      </c>
      <c r="AY4" s="161">
        <v>45131.51</v>
      </c>
      <c r="AZ4" s="161">
        <v>44344</v>
      </c>
      <c r="BA4" s="41">
        <v>13.3</v>
      </c>
      <c r="BB4" s="41">
        <v>14.9</v>
      </c>
      <c r="BC4" s="41">
        <v>14.2</v>
      </c>
      <c r="BD4" s="41">
        <v>13.1</v>
      </c>
      <c r="BE4" s="41">
        <v>12.1</v>
      </c>
      <c r="BF4" s="41">
        <v>23.3</v>
      </c>
      <c r="BG4" s="41">
        <v>23.9</v>
      </c>
      <c r="BH4" s="41">
        <v>22.4</v>
      </c>
      <c r="BI4" s="41">
        <v>22.5</v>
      </c>
      <c r="BJ4" s="41">
        <v>18.8</v>
      </c>
      <c r="BK4" s="37">
        <v>1947</v>
      </c>
      <c r="BL4" s="37">
        <v>1922</v>
      </c>
      <c r="BM4" s="37">
        <v>1874</v>
      </c>
      <c r="BN4" s="37">
        <v>1963</v>
      </c>
      <c r="BO4" s="40">
        <v>48.741653826399592</v>
      </c>
      <c r="BP4" s="40">
        <v>51.873048907388139</v>
      </c>
      <c r="BQ4" s="40">
        <v>48.505869797225188</v>
      </c>
      <c r="BR4" s="40">
        <v>48.191543555781969</v>
      </c>
      <c r="BS4" s="50">
        <v>0</v>
      </c>
      <c r="BT4" s="50" t="s">
        <v>481</v>
      </c>
      <c r="BU4" s="50" t="s">
        <v>481</v>
      </c>
      <c r="BV4" s="50">
        <v>0.10188487009679062</v>
      </c>
      <c r="BW4" s="40">
        <v>15.870570107858244</v>
      </c>
      <c r="BX4" s="40">
        <v>17.273673257023933</v>
      </c>
      <c r="BY4" s="40">
        <v>16.702241195304161</v>
      </c>
      <c r="BZ4" s="40">
        <v>19.103413143148241</v>
      </c>
      <c r="CA4" s="40">
        <v>88.387096774193552</v>
      </c>
      <c r="CB4" s="40">
        <v>88</v>
      </c>
      <c r="CC4" s="40">
        <v>91.56</v>
      </c>
      <c r="CD4" s="40">
        <v>89.05</v>
      </c>
      <c r="CE4" s="40">
        <v>3.225806451612903</v>
      </c>
      <c r="CF4" s="40">
        <v>4.666666666666667</v>
      </c>
      <c r="CG4" s="40">
        <v>1.95</v>
      </c>
      <c r="CH4" s="40">
        <v>5.1100000000000003</v>
      </c>
      <c r="CI4" s="101">
        <v>686</v>
      </c>
      <c r="CJ4" s="101">
        <v>775</v>
      </c>
      <c r="CK4" s="101">
        <v>653</v>
      </c>
      <c r="CL4" s="101">
        <v>561</v>
      </c>
      <c r="CM4" s="40">
        <v>9.1991632248028754</v>
      </c>
      <c r="CN4" s="40">
        <v>12.059629030250218</v>
      </c>
      <c r="CO4" s="40">
        <v>8.1900390061582069</v>
      </c>
      <c r="CP4" s="40">
        <v>7.1349536418787443</v>
      </c>
      <c r="CQ4" s="101">
        <v>24</v>
      </c>
      <c r="CR4" s="101">
        <v>32</v>
      </c>
      <c r="CS4" s="101">
        <v>36</v>
      </c>
      <c r="CT4" s="101">
        <v>25</v>
      </c>
      <c r="CU4" s="40">
        <v>3.6</v>
      </c>
      <c r="CV4" s="40">
        <v>4.2</v>
      </c>
      <c r="CW4" s="40">
        <v>5.6</v>
      </c>
      <c r="CX4" s="40">
        <v>4.5999999999999996</v>
      </c>
      <c r="CY4" s="37">
        <v>52</v>
      </c>
      <c r="CZ4" s="101">
        <v>50</v>
      </c>
      <c r="DA4" s="101">
        <v>43</v>
      </c>
      <c r="DB4" s="101">
        <v>38</v>
      </c>
      <c r="DC4" s="40">
        <v>8.4</v>
      </c>
      <c r="DD4" s="40">
        <v>7.6</v>
      </c>
      <c r="DE4" s="40">
        <v>7.2</v>
      </c>
      <c r="DF4" s="40">
        <v>7</v>
      </c>
      <c r="DG4" s="40">
        <v>86.6</v>
      </c>
      <c r="DH4" s="40">
        <v>85.5</v>
      </c>
      <c r="DI4" s="40">
        <v>87.5</v>
      </c>
      <c r="DJ4" s="40">
        <v>82.1</v>
      </c>
      <c r="DK4" s="40">
        <v>26.6</v>
      </c>
      <c r="DL4" s="40">
        <v>29.9</v>
      </c>
      <c r="DM4" s="40">
        <v>27.7</v>
      </c>
      <c r="DN4" s="40">
        <v>28.2</v>
      </c>
      <c r="DO4" s="40">
        <v>32.5</v>
      </c>
      <c r="DP4" s="40">
        <v>42.2</v>
      </c>
      <c r="DQ4" s="40">
        <v>42.7</v>
      </c>
      <c r="DR4" s="40">
        <v>43.9</v>
      </c>
      <c r="DS4" s="40">
        <v>33</v>
      </c>
      <c r="DT4" s="40">
        <v>34.5</v>
      </c>
      <c r="DU4" s="40">
        <v>24.1</v>
      </c>
      <c r="DV4" s="40">
        <v>13.3</v>
      </c>
      <c r="DW4" s="43">
        <v>108</v>
      </c>
      <c r="DX4" s="43">
        <v>1</v>
      </c>
      <c r="DY4" s="15">
        <v>8</v>
      </c>
      <c r="DZ4" s="43">
        <v>0</v>
      </c>
      <c r="EA4" s="43">
        <v>4</v>
      </c>
      <c r="EB4" s="43">
        <v>4</v>
      </c>
      <c r="EC4" s="43">
        <v>3</v>
      </c>
      <c r="ED4" s="43">
        <v>1</v>
      </c>
      <c r="EE4" s="43">
        <v>6</v>
      </c>
      <c r="EF4" s="101">
        <v>889</v>
      </c>
      <c r="EG4" s="101">
        <v>868</v>
      </c>
      <c r="EH4" s="101">
        <v>1036</v>
      </c>
      <c r="EI4" s="101">
        <v>1098</v>
      </c>
      <c r="EJ4" s="174">
        <v>222</v>
      </c>
      <c r="EK4" s="174">
        <v>1</v>
      </c>
      <c r="EL4" s="174">
        <v>6</v>
      </c>
      <c r="EM4" s="240"/>
      <c r="EN4" s="174"/>
      <c r="EO4" s="40">
        <v>1162.0160000000001</v>
      </c>
      <c r="EP4" s="40">
        <v>1073.328</v>
      </c>
      <c r="EQ4" s="40">
        <v>1278.854</v>
      </c>
      <c r="ER4" s="40">
        <v>1398.548</v>
      </c>
      <c r="ES4" s="40">
        <v>740.57500000000005</v>
      </c>
      <c r="ET4" s="40">
        <v>607.96400000000006</v>
      </c>
      <c r="EU4" s="40">
        <v>710.55100000000004</v>
      </c>
      <c r="EV4" s="40">
        <v>756.11099999999999</v>
      </c>
      <c r="EW4" s="40">
        <v>918.96500000000003</v>
      </c>
      <c r="EX4" s="40">
        <v>709.38699999999994</v>
      </c>
      <c r="EY4" s="40">
        <v>820.20799999999997</v>
      </c>
      <c r="EZ4" s="40">
        <v>904.58100000000002</v>
      </c>
      <c r="FA4" s="40">
        <v>603.50400000000002</v>
      </c>
      <c r="FB4" s="40">
        <v>502.94299999999998</v>
      </c>
      <c r="FC4" s="40">
        <v>598.34</v>
      </c>
      <c r="FD4" s="40">
        <v>604.38800000000003</v>
      </c>
      <c r="FE4" s="37">
        <v>228</v>
      </c>
      <c r="FF4" s="37">
        <v>232</v>
      </c>
      <c r="FG4" s="37">
        <v>243</v>
      </c>
      <c r="FH4" s="37">
        <v>293</v>
      </c>
      <c r="FI4" s="40">
        <v>183.55500000000001</v>
      </c>
      <c r="FJ4" s="40">
        <v>156.77799999999999</v>
      </c>
      <c r="FK4" s="40">
        <v>159.17599999999999</v>
      </c>
      <c r="FL4" s="40">
        <v>184.28800000000001</v>
      </c>
      <c r="FM4" s="37">
        <v>264</v>
      </c>
      <c r="FN4" s="37">
        <v>200</v>
      </c>
      <c r="FO4" s="37">
        <v>226</v>
      </c>
      <c r="FP4" s="37">
        <v>206</v>
      </c>
      <c r="FQ4" s="40">
        <v>211.03200000000001</v>
      </c>
      <c r="FR4" s="40">
        <v>132.50700000000001</v>
      </c>
      <c r="FS4" s="40">
        <v>147.50200000000001</v>
      </c>
      <c r="FT4" s="40">
        <v>132.012</v>
      </c>
      <c r="FU4" s="43">
        <v>47</v>
      </c>
      <c r="FV4" s="43">
        <v>60</v>
      </c>
      <c r="FW4" s="43">
        <v>43</v>
      </c>
      <c r="FX4" s="43">
        <v>56</v>
      </c>
      <c r="FY4" s="40">
        <v>36.853999999999999</v>
      </c>
      <c r="FZ4" s="40">
        <v>40.381</v>
      </c>
      <c r="GA4" s="40">
        <v>29.117000000000001</v>
      </c>
      <c r="GB4" s="40">
        <v>33.981999999999999</v>
      </c>
      <c r="GC4" s="149">
        <v>53</v>
      </c>
      <c r="GD4" s="149">
        <v>41</v>
      </c>
      <c r="GE4" s="149">
        <v>64</v>
      </c>
      <c r="GF4" s="149">
        <v>78</v>
      </c>
      <c r="GG4" s="183">
        <v>60.277000000000001</v>
      </c>
      <c r="GH4" s="183">
        <v>41.448999999999998</v>
      </c>
      <c r="GI4" s="183">
        <v>61.186999999999998</v>
      </c>
      <c r="GJ4" s="183">
        <v>74.602999999999994</v>
      </c>
      <c r="GK4" s="183"/>
      <c r="GL4" s="111" t="s">
        <v>171</v>
      </c>
      <c r="GM4" s="111" t="s">
        <v>172</v>
      </c>
      <c r="GN4" s="111" t="s">
        <v>173</v>
      </c>
      <c r="GO4" s="111" t="s">
        <v>174</v>
      </c>
      <c r="GP4" s="111" t="s">
        <v>175</v>
      </c>
      <c r="GQ4" s="111" t="s">
        <v>176</v>
      </c>
      <c r="GR4" s="111" t="s">
        <v>177</v>
      </c>
      <c r="GS4" s="111" t="s">
        <v>178</v>
      </c>
      <c r="GT4" s="111" t="s">
        <v>179</v>
      </c>
      <c r="GU4" s="111" t="s">
        <v>180</v>
      </c>
      <c r="GV4" s="111" t="s">
        <v>181</v>
      </c>
      <c r="GW4" s="111" t="s">
        <v>182</v>
      </c>
      <c r="GX4" s="111" t="s">
        <v>183</v>
      </c>
      <c r="GY4" s="111" t="s">
        <v>184</v>
      </c>
      <c r="GZ4" s="111" t="s">
        <v>185</v>
      </c>
      <c r="HA4" s="111" t="s">
        <v>186</v>
      </c>
      <c r="HB4" s="111" t="s">
        <v>187</v>
      </c>
      <c r="HC4" s="111" t="s">
        <v>188</v>
      </c>
      <c r="HD4" s="111" t="s">
        <v>189</v>
      </c>
      <c r="HE4" s="111" t="s">
        <v>190</v>
      </c>
      <c r="HF4" s="111" t="s">
        <v>191</v>
      </c>
      <c r="HG4" s="111" t="s">
        <v>192</v>
      </c>
      <c r="HH4" s="111" t="s">
        <v>193</v>
      </c>
      <c r="HI4" s="111" t="s">
        <v>194</v>
      </c>
      <c r="HJ4" s="111" t="s">
        <v>195</v>
      </c>
      <c r="HK4" s="111" t="s">
        <v>196</v>
      </c>
      <c r="HL4" s="111" t="s">
        <v>197</v>
      </c>
      <c r="HM4" s="111" t="s">
        <v>198</v>
      </c>
      <c r="HN4" s="111" t="s">
        <v>199</v>
      </c>
      <c r="HO4" s="111" t="s">
        <v>200</v>
      </c>
      <c r="HP4" s="111" t="s">
        <v>201</v>
      </c>
      <c r="HQ4" s="111" t="s">
        <v>202</v>
      </c>
      <c r="HR4" s="111" t="s">
        <v>203</v>
      </c>
      <c r="HS4" s="111" t="s">
        <v>204</v>
      </c>
      <c r="HT4" s="111" t="s">
        <v>205</v>
      </c>
      <c r="HU4" s="111" t="s">
        <v>206</v>
      </c>
      <c r="HV4" s="111" t="s">
        <v>207</v>
      </c>
      <c r="HW4" s="111" t="s">
        <v>208</v>
      </c>
      <c r="HX4" s="111" t="s">
        <v>209</v>
      </c>
      <c r="HY4" s="111" t="s">
        <v>210</v>
      </c>
      <c r="HZ4" s="111" t="s">
        <v>211</v>
      </c>
    </row>
    <row r="5" spans="1:253" ht="13.5" customHeight="1" x14ac:dyDescent="0.2">
      <c r="A5" s="128">
        <v>2</v>
      </c>
      <c r="B5" s="129" t="s">
        <v>49</v>
      </c>
      <c r="C5" s="117">
        <v>339534</v>
      </c>
      <c r="D5" s="117">
        <v>341864</v>
      </c>
      <c r="E5" s="117">
        <v>344151</v>
      </c>
      <c r="F5" s="117">
        <v>345957</v>
      </c>
      <c r="G5" s="151">
        <v>351373</v>
      </c>
      <c r="H5" s="155">
        <v>290252</v>
      </c>
      <c r="I5" s="155">
        <v>24550</v>
      </c>
      <c r="J5" s="155">
        <v>2733</v>
      </c>
      <c r="K5" s="155">
        <v>17786</v>
      </c>
      <c r="L5" s="155">
        <v>16052</v>
      </c>
      <c r="M5" s="37">
        <v>124747</v>
      </c>
      <c r="N5" s="37">
        <v>125357</v>
      </c>
      <c r="O5" s="37">
        <v>126569</v>
      </c>
      <c r="P5" s="37">
        <v>128135</v>
      </c>
      <c r="Q5" s="37">
        <v>129391</v>
      </c>
      <c r="R5" s="50">
        <v>16.600000000000001</v>
      </c>
      <c r="S5" s="50">
        <v>17.5</v>
      </c>
      <c r="T5" s="50">
        <v>18.361818768139308</v>
      </c>
      <c r="U5" s="50">
        <v>19.208439413748021</v>
      </c>
      <c r="V5" s="50">
        <v>20.312746801453166</v>
      </c>
      <c r="W5" s="38">
        <v>29.9</v>
      </c>
      <c r="X5" s="38">
        <v>29.6</v>
      </c>
      <c r="Y5" s="38">
        <v>29.612383102225088</v>
      </c>
      <c r="Z5" s="38">
        <v>29.572352576893969</v>
      </c>
      <c r="AA5" s="38">
        <v>29.688320448074041</v>
      </c>
      <c r="AB5" s="50">
        <v>46.5</v>
      </c>
      <c r="AC5" s="50">
        <v>47.2</v>
      </c>
      <c r="AD5" s="50">
        <v>47.974201870364396</v>
      </c>
      <c r="AE5" s="50">
        <v>48.780791990641987</v>
      </c>
      <c r="AF5" s="50">
        <v>50.00106724952721</v>
      </c>
      <c r="AG5" s="40">
        <v>5.0999999999999996</v>
      </c>
      <c r="AH5" s="40">
        <v>4.0491101551956818</v>
      </c>
      <c r="AI5" s="40">
        <v>3.6067770351256434</v>
      </c>
      <c r="AJ5" s="40">
        <v>3.7596272900883507</v>
      </c>
      <c r="AK5" s="40">
        <v>3.4666872221793978</v>
      </c>
      <c r="AL5" s="37">
        <v>12971.25</v>
      </c>
      <c r="AM5" s="37">
        <v>11813.916666666666</v>
      </c>
      <c r="AN5" s="37">
        <v>11067.75</v>
      </c>
      <c r="AO5" s="37">
        <v>10573.25</v>
      </c>
      <c r="AP5" s="37">
        <v>10085.333333333334</v>
      </c>
      <c r="AQ5" s="190">
        <v>43803.034903380576</v>
      </c>
      <c r="AR5" s="190">
        <v>45458.757717788751</v>
      </c>
      <c r="AS5" s="190">
        <v>47499.520100517126</v>
      </c>
      <c r="AT5" s="190">
        <v>48308.341845951953</v>
      </c>
      <c r="AU5" s="190">
        <v>50147.61</v>
      </c>
      <c r="AV5" s="161">
        <v>71201.55</v>
      </c>
      <c r="AW5" s="161">
        <v>73443.760000000009</v>
      </c>
      <c r="AX5" s="161">
        <v>73702.720000000001</v>
      </c>
      <c r="AY5" s="161">
        <v>75474.28</v>
      </c>
      <c r="AZ5" s="161">
        <v>79097</v>
      </c>
      <c r="BA5" s="41">
        <v>7.6</v>
      </c>
      <c r="BB5" s="41">
        <v>7.6</v>
      </c>
      <c r="BC5" s="41">
        <v>7.1</v>
      </c>
      <c r="BD5" s="41">
        <v>6.8</v>
      </c>
      <c r="BE5" s="41">
        <v>5.4</v>
      </c>
      <c r="BF5" s="41">
        <v>10.3</v>
      </c>
      <c r="BG5" s="41">
        <v>10.7</v>
      </c>
      <c r="BH5" s="41">
        <v>9.1999999999999993</v>
      </c>
      <c r="BI5" s="41">
        <v>9.1999999999999993</v>
      </c>
      <c r="BJ5" s="41">
        <v>7.3</v>
      </c>
      <c r="BK5" s="37">
        <v>63127</v>
      </c>
      <c r="BL5" s="37">
        <v>63581</v>
      </c>
      <c r="BM5" s="37">
        <v>63269</v>
      </c>
      <c r="BN5" s="37">
        <v>56765</v>
      </c>
      <c r="BO5" s="40">
        <v>35.995691225624533</v>
      </c>
      <c r="BP5" s="40">
        <v>36.194775168682469</v>
      </c>
      <c r="BQ5" s="40">
        <v>36.526576996633423</v>
      </c>
      <c r="BR5" s="40">
        <v>35.354531841803926</v>
      </c>
      <c r="BS5" s="50">
        <v>7.3771920097581063</v>
      </c>
      <c r="BT5" s="50">
        <v>7.2238561834510309</v>
      </c>
      <c r="BU5" s="50">
        <v>7.0824574436137757</v>
      </c>
      <c r="BV5" s="50">
        <v>7.102968378402184</v>
      </c>
      <c r="BW5" s="40">
        <v>14.892201435202052</v>
      </c>
      <c r="BX5" s="40">
        <v>15.141315801890501</v>
      </c>
      <c r="BY5" s="40">
        <v>13.894640345192748</v>
      </c>
      <c r="BZ5" s="40">
        <v>16.200123315423237</v>
      </c>
      <c r="CA5" s="40">
        <v>81.443061318579993</v>
      </c>
      <c r="CB5" s="40">
        <v>82.340525328330202</v>
      </c>
      <c r="CC5" s="40">
        <v>80.180000000000007</v>
      </c>
      <c r="CD5" s="40">
        <v>82.69</v>
      </c>
      <c r="CE5" s="40">
        <v>3.0428769017980635</v>
      </c>
      <c r="CF5" s="40">
        <v>3.8542890716803759</v>
      </c>
      <c r="CG5" s="40">
        <v>4.34</v>
      </c>
      <c r="CH5" s="40">
        <v>4.29</v>
      </c>
      <c r="CI5" s="101">
        <v>21351</v>
      </c>
      <c r="CJ5" s="101">
        <v>22145</v>
      </c>
      <c r="CK5" s="101">
        <v>20961</v>
      </c>
      <c r="CL5" s="101">
        <v>21190</v>
      </c>
      <c r="CM5" s="40">
        <v>14.192576599764156</v>
      </c>
      <c r="CN5" s="40">
        <v>17.071345040059267</v>
      </c>
      <c r="CO5" s="40">
        <v>12.634186622625929</v>
      </c>
      <c r="CP5" s="40">
        <v>12.299180615701973</v>
      </c>
      <c r="CQ5" s="101">
        <v>883</v>
      </c>
      <c r="CR5" s="101">
        <v>1041</v>
      </c>
      <c r="CS5" s="101">
        <v>932</v>
      </c>
      <c r="CT5" s="101">
        <v>945</v>
      </c>
      <c r="CU5" s="40">
        <v>4.3</v>
      </c>
      <c r="CV5" s="40">
        <v>4.9000000000000004</v>
      </c>
      <c r="CW5" s="40">
        <v>4.5999999999999996</v>
      </c>
      <c r="CX5" s="40">
        <v>4.5999999999999996</v>
      </c>
      <c r="CY5" s="37">
        <v>1361</v>
      </c>
      <c r="CZ5" s="101">
        <v>1606</v>
      </c>
      <c r="DA5" s="101">
        <v>1389</v>
      </c>
      <c r="DB5" s="101">
        <v>1320</v>
      </c>
      <c r="DC5" s="40">
        <v>7.4</v>
      </c>
      <c r="DD5" s="40">
        <v>8.4</v>
      </c>
      <c r="DE5" s="40">
        <v>7.3</v>
      </c>
      <c r="DF5" s="40">
        <v>6.5</v>
      </c>
      <c r="DG5" s="40">
        <v>85.3</v>
      </c>
      <c r="DH5" s="40">
        <v>86.4</v>
      </c>
      <c r="DI5" s="40">
        <v>86.7</v>
      </c>
      <c r="DJ5" s="40">
        <v>85.4</v>
      </c>
      <c r="DK5" s="40">
        <v>10.4</v>
      </c>
      <c r="DL5" s="40">
        <v>7.4</v>
      </c>
      <c r="DM5" s="40">
        <v>9.6</v>
      </c>
      <c r="DN5" s="40">
        <v>9.1</v>
      </c>
      <c r="DO5" s="40">
        <v>23</v>
      </c>
      <c r="DP5" s="40">
        <v>26.1</v>
      </c>
      <c r="DQ5" s="40">
        <v>30.2</v>
      </c>
      <c r="DR5" s="40">
        <v>31</v>
      </c>
      <c r="DS5" s="40">
        <v>26.3</v>
      </c>
      <c r="DT5" s="40">
        <v>21.7</v>
      </c>
      <c r="DU5" s="40">
        <v>17.100000000000001</v>
      </c>
      <c r="DV5" s="40">
        <v>11.4</v>
      </c>
      <c r="DW5" s="43">
        <v>3041</v>
      </c>
      <c r="DX5" s="43">
        <v>533</v>
      </c>
      <c r="DY5" s="15">
        <v>32</v>
      </c>
      <c r="DZ5" s="43">
        <v>318</v>
      </c>
      <c r="EA5" s="43">
        <v>259</v>
      </c>
      <c r="EB5" s="43">
        <v>109</v>
      </c>
      <c r="EC5" s="43">
        <v>98</v>
      </c>
      <c r="ED5" s="43">
        <v>100</v>
      </c>
      <c r="EE5" s="43">
        <v>86</v>
      </c>
      <c r="EF5" s="101">
        <v>6869</v>
      </c>
      <c r="EG5" s="101">
        <v>7170</v>
      </c>
      <c r="EH5" s="101">
        <v>8420</v>
      </c>
      <c r="EI5" s="101">
        <v>10212</v>
      </c>
      <c r="EJ5" s="174">
        <v>2111</v>
      </c>
      <c r="EK5" s="174">
        <v>66</v>
      </c>
      <c r="EL5" s="174">
        <v>17</v>
      </c>
      <c r="EM5" s="174">
        <v>44</v>
      </c>
      <c r="EN5" s="174">
        <v>18</v>
      </c>
      <c r="EO5" s="40">
        <v>460.87700000000001</v>
      </c>
      <c r="EP5" s="40">
        <v>442.59800000000001</v>
      </c>
      <c r="EQ5" s="40">
        <v>509.00099999999998</v>
      </c>
      <c r="ER5" s="40">
        <v>593.46</v>
      </c>
      <c r="ES5" s="40">
        <v>780.76400000000001</v>
      </c>
      <c r="ET5" s="40">
        <v>629.37699999999995</v>
      </c>
      <c r="EU5" s="40">
        <v>646.51099999999997</v>
      </c>
      <c r="EV5" s="40">
        <v>630.90899999999999</v>
      </c>
      <c r="EW5" s="40">
        <v>943.24599999999998</v>
      </c>
      <c r="EX5" s="40">
        <v>737.09100000000001</v>
      </c>
      <c r="EY5" s="40">
        <v>781.952</v>
      </c>
      <c r="EZ5" s="40">
        <v>724.96699999999998</v>
      </c>
      <c r="FA5" s="40">
        <v>671.88400000000001</v>
      </c>
      <c r="FB5" s="40">
        <v>546.05100000000004</v>
      </c>
      <c r="FC5" s="40">
        <v>542.64800000000002</v>
      </c>
      <c r="FD5" s="40">
        <v>551.66200000000003</v>
      </c>
      <c r="FE5" s="37">
        <v>1906</v>
      </c>
      <c r="FF5" s="37">
        <v>2041</v>
      </c>
      <c r="FG5" s="37">
        <v>2448</v>
      </c>
      <c r="FH5" s="37">
        <v>2748</v>
      </c>
      <c r="FI5" s="40">
        <v>197.77600000000001</v>
      </c>
      <c r="FJ5" s="40">
        <v>170.02099999999999</v>
      </c>
      <c r="FK5" s="40">
        <v>173.44900000000001</v>
      </c>
      <c r="FL5" s="40">
        <v>158.51300000000001</v>
      </c>
      <c r="FM5" s="37">
        <v>1501</v>
      </c>
      <c r="FN5" s="37">
        <v>1260</v>
      </c>
      <c r="FO5" s="37">
        <v>1305</v>
      </c>
      <c r="FP5" s="37">
        <v>1651</v>
      </c>
      <c r="FQ5" s="40">
        <v>179.95599999999999</v>
      </c>
      <c r="FR5" s="40">
        <v>115.807</v>
      </c>
      <c r="FS5" s="40">
        <v>104.89</v>
      </c>
      <c r="FT5" s="40">
        <v>105.898</v>
      </c>
      <c r="FU5" s="43">
        <v>392</v>
      </c>
      <c r="FV5" s="43">
        <v>366</v>
      </c>
      <c r="FW5" s="43">
        <v>369</v>
      </c>
      <c r="FX5" s="43">
        <v>434</v>
      </c>
      <c r="FY5" s="40">
        <v>50.828000000000003</v>
      </c>
      <c r="FZ5" s="40">
        <v>34.582000000000001</v>
      </c>
      <c r="GA5" s="40">
        <v>31.396000000000001</v>
      </c>
      <c r="GB5" s="40">
        <v>28.518999999999998</v>
      </c>
      <c r="GC5" s="149">
        <v>407</v>
      </c>
      <c r="GD5" s="149">
        <v>496</v>
      </c>
      <c r="GE5" s="149">
        <v>535</v>
      </c>
      <c r="GF5" s="149">
        <v>621</v>
      </c>
      <c r="GG5" s="183">
        <v>37.607999999999997</v>
      </c>
      <c r="GH5" s="183">
        <v>38.326000000000001</v>
      </c>
      <c r="GI5" s="183">
        <v>37.421999999999997</v>
      </c>
      <c r="GJ5" s="183">
        <v>38.213999999999999</v>
      </c>
      <c r="GK5" s="183"/>
      <c r="GL5" s="111" t="s">
        <v>212</v>
      </c>
      <c r="GM5" s="111" t="s">
        <v>213</v>
      </c>
      <c r="GN5" s="111" t="s">
        <v>214</v>
      </c>
      <c r="GO5" s="111" t="s">
        <v>215</v>
      </c>
      <c r="GP5" s="111" t="s">
        <v>216</v>
      </c>
      <c r="GQ5" s="111" t="s">
        <v>217</v>
      </c>
      <c r="GR5" s="111" t="s">
        <v>218</v>
      </c>
      <c r="GS5" s="111" t="s">
        <v>219</v>
      </c>
      <c r="GT5" s="111" t="s">
        <v>220</v>
      </c>
      <c r="GU5" s="111" t="s">
        <v>221</v>
      </c>
      <c r="GV5" s="111" t="s">
        <v>222</v>
      </c>
      <c r="GW5" s="111" t="s">
        <v>223</v>
      </c>
      <c r="GX5" s="111" t="s">
        <v>224</v>
      </c>
      <c r="GY5" s="111" t="s">
        <v>225</v>
      </c>
      <c r="GZ5" s="111" t="s">
        <v>226</v>
      </c>
      <c r="HA5" s="111" t="s">
        <v>227</v>
      </c>
      <c r="HB5" s="111" t="s">
        <v>228</v>
      </c>
      <c r="HC5" s="111" t="s">
        <v>229</v>
      </c>
      <c r="HD5" s="111" t="s">
        <v>230</v>
      </c>
      <c r="HE5" s="111" t="s">
        <v>231</v>
      </c>
      <c r="HF5" s="111" t="s">
        <v>232</v>
      </c>
      <c r="HG5" s="111" t="s">
        <v>233</v>
      </c>
      <c r="HH5" s="111" t="s">
        <v>234</v>
      </c>
      <c r="HI5" s="111" t="s">
        <v>235</v>
      </c>
      <c r="HJ5" s="111" t="s">
        <v>236</v>
      </c>
      <c r="HK5" s="111" t="s">
        <v>237</v>
      </c>
      <c r="HL5" s="111" t="s">
        <v>238</v>
      </c>
      <c r="HM5" s="111" t="s">
        <v>239</v>
      </c>
      <c r="HN5" s="111" t="s">
        <v>240</v>
      </c>
      <c r="HO5" s="111" t="s">
        <v>241</v>
      </c>
      <c r="HP5" s="111" t="s">
        <v>242</v>
      </c>
      <c r="HQ5" s="111" t="s">
        <v>243</v>
      </c>
      <c r="HR5" s="111" t="s">
        <v>244</v>
      </c>
      <c r="HS5" s="111" t="s">
        <v>245</v>
      </c>
      <c r="HT5" s="111" t="s">
        <v>246</v>
      </c>
      <c r="HU5" s="111" t="s">
        <v>247</v>
      </c>
      <c r="HV5" s="111" t="s">
        <v>248</v>
      </c>
      <c r="HW5" s="111" t="s">
        <v>249</v>
      </c>
      <c r="HX5" s="111" t="s">
        <v>250</v>
      </c>
      <c r="HY5" s="111" t="s">
        <v>251</v>
      </c>
      <c r="HZ5" s="111" t="s">
        <v>252</v>
      </c>
    </row>
    <row r="6" spans="1:253" x14ac:dyDescent="0.2">
      <c r="A6" s="128">
        <v>3</v>
      </c>
      <c r="B6" s="129" t="s">
        <v>50</v>
      </c>
      <c r="C6" s="117">
        <v>33231</v>
      </c>
      <c r="D6" s="117">
        <v>33259</v>
      </c>
      <c r="E6" s="117">
        <v>33386</v>
      </c>
      <c r="F6" s="117">
        <v>33734</v>
      </c>
      <c r="G6" s="151">
        <v>34098</v>
      </c>
      <c r="H6" s="155">
        <v>30003</v>
      </c>
      <c r="I6" s="155">
        <v>314</v>
      </c>
      <c r="J6" s="155">
        <v>2881</v>
      </c>
      <c r="K6" s="155">
        <v>193</v>
      </c>
      <c r="L6" s="155">
        <v>707</v>
      </c>
      <c r="M6" s="37">
        <v>13549</v>
      </c>
      <c r="N6" s="37">
        <v>13620</v>
      </c>
      <c r="O6" s="37">
        <v>13786</v>
      </c>
      <c r="P6" s="37">
        <v>13928</v>
      </c>
      <c r="Q6" s="37">
        <v>14097</v>
      </c>
      <c r="R6" s="50">
        <v>30.9</v>
      </c>
      <c r="S6" s="50">
        <v>32</v>
      </c>
      <c r="T6" s="50">
        <v>32.570431313886807</v>
      </c>
      <c r="U6" s="50">
        <v>33.444036879151383</v>
      </c>
      <c r="V6" s="50">
        <v>33.946447063464667</v>
      </c>
      <c r="W6" s="38">
        <v>33.299999999999997</v>
      </c>
      <c r="X6" s="38">
        <v>33.700000000000003</v>
      </c>
      <c r="Y6" s="38">
        <v>33.901770132136619</v>
      </c>
      <c r="Z6" s="38">
        <v>33.771190641419651</v>
      </c>
      <c r="AA6" s="38">
        <v>34.197938754376452</v>
      </c>
      <c r="AB6" s="50">
        <v>64.2</v>
      </c>
      <c r="AC6" s="50">
        <v>65.7</v>
      </c>
      <c r="AD6" s="50">
        <v>66.472201446023433</v>
      </c>
      <c r="AE6" s="50">
        <v>67.215227520571034</v>
      </c>
      <c r="AF6" s="50">
        <v>68.144385817841112</v>
      </c>
      <c r="AG6" s="40">
        <v>5.5</v>
      </c>
      <c r="AH6" s="40">
        <v>4.6747175691468641</v>
      </c>
      <c r="AI6" s="40">
        <v>4.423868312757202</v>
      </c>
      <c r="AJ6" s="40">
        <v>4.6580609722603681</v>
      </c>
      <c r="AK6" s="40">
        <v>4.3248542948962365</v>
      </c>
      <c r="AL6" s="37">
        <v>2023.9166666666667</v>
      </c>
      <c r="AM6" s="37">
        <v>1466.5</v>
      </c>
      <c r="AN6" s="37">
        <v>1295.5833333333333</v>
      </c>
      <c r="AO6" s="37">
        <v>1181.5</v>
      </c>
      <c r="AP6" s="37">
        <v>1111</v>
      </c>
      <c r="AQ6" s="190">
        <v>42564.13906090302</v>
      </c>
      <c r="AR6" s="190">
        <v>42553.871635610769</v>
      </c>
      <c r="AS6" s="190">
        <v>44052.346829093512</v>
      </c>
      <c r="AT6" s="190">
        <v>44717.187110926665</v>
      </c>
      <c r="AU6" s="190">
        <v>46307.770000000004</v>
      </c>
      <c r="AV6" s="161">
        <v>49723.8</v>
      </c>
      <c r="AW6" s="161">
        <v>51150.32</v>
      </c>
      <c r="AX6" s="161">
        <v>53160.639999999999</v>
      </c>
      <c r="AY6" s="161">
        <v>55933.120000000003</v>
      </c>
      <c r="AZ6" s="161">
        <v>54502</v>
      </c>
      <c r="BA6" s="41">
        <v>13.5</v>
      </c>
      <c r="BB6" s="41">
        <v>14.6</v>
      </c>
      <c r="BC6" s="41">
        <v>11.3</v>
      </c>
      <c r="BD6" s="41">
        <v>12.7</v>
      </c>
      <c r="BE6" s="41">
        <v>11.7</v>
      </c>
      <c r="BF6" s="41">
        <v>19.3</v>
      </c>
      <c r="BG6" s="41">
        <v>19.100000000000001</v>
      </c>
      <c r="BH6" s="41">
        <v>16.5</v>
      </c>
      <c r="BI6" s="41">
        <v>18.7</v>
      </c>
      <c r="BJ6" s="41">
        <v>17.3</v>
      </c>
      <c r="BK6" s="37">
        <v>4715</v>
      </c>
      <c r="BL6" s="37">
        <v>4750</v>
      </c>
      <c r="BM6" s="37">
        <v>4595</v>
      </c>
      <c r="BN6" s="37">
        <v>5108</v>
      </c>
      <c r="BO6" s="40">
        <v>44.45387062566278</v>
      </c>
      <c r="BP6" s="40">
        <v>42.736842105263158</v>
      </c>
      <c r="BQ6" s="40">
        <v>39.564744287268773</v>
      </c>
      <c r="BR6" s="40">
        <v>41.620986687548942</v>
      </c>
      <c r="BS6" s="50">
        <v>0.38176033934252385</v>
      </c>
      <c r="BT6" s="50">
        <v>0.25263157894736843</v>
      </c>
      <c r="BU6" s="50">
        <v>0.15233949945593037</v>
      </c>
      <c r="BV6" s="50">
        <v>0.15661707126076743</v>
      </c>
      <c r="BW6" s="40">
        <v>21.039236479321314</v>
      </c>
      <c r="BX6" s="40">
        <v>21.978947368421053</v>
      </c>
      <c r="BY6" s="40">
        <v>18.215451577801957</v>
      </c>
      <c r="BZ6" s="40">
        <v>19.694596711041505</v>
      </c>
      <c r="CA6" s="40">
        <v>85.526315789473685</v>
      </c>
      <c r="CB6" s="40">
        <v>85.47486033519553</v>
      </c>
      <c r="CC6" s="40">
        <v>86.25</v>
      </c>
      <c r="CD6" s="40">
        <v>88.1</v>
      </c>
      <c r="CE6" s="40">
        <v>3.4210526315789478</v>
      </c>
      <c r="CF6" s="40">
        <v>6.1111111111111107</v>
      </c>
      <c r="CG6" s="40">
        <v>6.3</v>
      </c>
      <c r="CH6" s="40">
        <v>4.25</v>
      </c>
      <c r="CI6" s="101">
        <v>1831</v>
      </c>
      <c r="CJ6" s="101">
        <v>2122</v>
      </c>
      <c r="CK6" s="101">
        <v>2190</v>
      </c>
      <c r="CL6" s="101">
        <v>2082</v>
      </c>
      <c r="CM6" s="40">
        <v>12.179708910943777</v>
      </c>
      <c r="CN6" s="40">
        <v>16.593811337279774</v>
      </c>
      <c r="CO6" s="40">
        <v>13.488710134394363</v>
      </c>
      <c r="CP6" s="40">
        <v>12.414434612540845</v>
      </c>
      <c r="CQ6" s="101">
        <v>72</v>
      </c>
      <c r="CR6" s="101">
        <v>79</v>
      </c>
      <c r="CS6" s="101">
        <v>77</v>
      </c>
      <c r="CT6" s="101">
        <v>106</v>
      </c>
      <c r="CU6" s="40">
        <v>4.0999999999999996</v>
      </c>
      <c r="CV6" s="40">
        <v>3.8</v>
      </c>
      <c r="CW6" s="40">
        <v>3.6</v>
      </c>
      <c r="CX6" s="40">
        <v>5.2</v>
      </c>
      <c r="CY6" s="37">
        <v>116</v>
      </c>
      <c r="CZ6" s="101">
        <v>116</v>
      </c>
      <c r="DA6" s="101">
        <v>133</v>
      </c>
      <c r="DB6" s="101">
        <v>141</v>
      </c>
      <c r="DC6" s="40">
        <v>7.4</v>
      </c>
      <c r="DD6" s="40">
        <v>6.3</v>
      </c>
      <c r="DE6" s="40">
        <v>6.7</v>
      </c>
      <c r="DF6" s="40">
        <v>7</v>
      </c>
      <c r="DG6" s="40">
        <v>81.2</v>
      </c>
      <c r="DH6" s="40">
        <v>83.2</v>
      </c>
      <c r="DI6" s="40">
        <v>82.6</v>
      </c>
      <c r="DJ6" s="40">
        <v>73</v>
      </c>
      <c r="DK6" s="40">
        <v>23.9</v>
      </c>
      <c r="DL6" s="40">
        <v>21.1</v>
      </c>
      <c r="DM6" s="40">
        <v>20.7</v>
      </c>
      <c r="DN6" s="40">
        <v>22.3</v>
      </c>
      <c r="DO6" s="40">
        <v>33.299999999999997</v>
      </c>
      <c r="DP6" s="40">
        <v>37.799999999999997</v>
      </c>
      <c r="DQ6" s="40">
        <v>41.9</v>
      </c>
      <c r="DR6" s="40">
        <v>41.1</v>
      </c>
      <c r="DS6" s="40">
        <v>38.799999999999997</v>
      </c>
      <c r="DT6" s="40">
        <v>32.700000000000003</v>
      </c>
      <c r="DU6" s="40">
        <v>35.200000000000003</v>
      </c>
      <c r="DV6" s="40">
        <v>18.399999999999999</v>
      </c>
      <c r="DW6" s="43">
        <v>325</v>
      </c>
      <c r="DX6" s="43">
        <v>3</v>
      </c>
      <c r="DY6" s="15">
        <v>54</v>
      </c>
      <c r="DZ6" s="43">
        <v>3</v>
      </c>
      <c r="EA6" s="43">
        <v>12</v>
      </c>
      <c r="EB6" s="43">
        <v>15</v>
      </c>
      <c r="EC6" s="43">
        <v>9</v>
      </c>
      <c r="ED6" s="43">
        <v>16</v>
      </c>
      <c r="EE6" s="43">
        <v>11</v>
      </c>
      <c r="EF6" s="101">
        <v>1614</v>
      </c>
      <c r="EG6" s="101">
        <v>1582</v>
      </c>
      <c r="EH6" s="101">
        <v>1695</v>
      </c>
      <c r="EI6" s="101">
        <v>1726</v>
      </c>
      <c r="EJ6" s="174">
        <v>336</v>
      </c>
      <c r="EK6" s="174"/>
      <c r="EL6" s="174">
        <v>30</v>
      </c>
      <c r="EM6" s="174"/>
      <c r="EN6" s="174"/>
      <c r="EO6" s="40">
        <v>1076</v>
      </c>
      <c r="EP6" s="40">
        <v>992.84500000000003</v>
      </c>
      <c r="EQ6" s="40">
        <v>1042.9490000000001</v>
      </c>
      <c r="ER6" s="40">
        <v>1033.9659999999999</v>
      </c>
      <c r="ES6" s="40">
        <v>847.18100000000004</v>
      </c>
      <c r="ET6" s="40">
        <v>778.16700000000003</v>
      </c>
      <c r="EU6" s="40">
        <v>776.27300000000002</v>
      </c>
      <c r="EV6" s="40">
        <v>739.40899999999999</v>
      </c>
      <c r="EW6" s="40">
        <v>1084.2550000000001</v>
      </c>
      <c r="EX6" s="40">
        <v>928.572</v>
      </c>
      <c r="EY6" s="40">
        <v>919.93399999999997</v>
      </c>
      <c r="EZ6" s="40">
        <v>813.19500000000005</v>
      </c>
      <c r="FA6" s="40">
        <v>661.55399999999997</v>
      </c>
      <c r="FB6" s="40">
        <v>654.524</v>
      </c>
      <c r="FC6" s="40">
        <v>667.45899999999995</v>
      </c>
      <c r="FD6" s="40">
        <v>661.52300000000002</v>
      </c>
      <c r="FE6" s="37">
        <v>347</v>
      </c>
      <c r="FF6" s="37">
        <v>330</v>
      </c>
      <c r="FG6" s="37">
        <v>419</v>
      </c>
      <c r="FH6" s="37">
        <v>380</v>
      </c>
      <c r="FI6" s="40">
        <v>183.13300000000001</v>
      </c>
      <c r="FJ6" s="40">
        <v>163.79</v>
      </c>
      <c r="FK6" s="40">
        <v>189.13900000000001</v>
      </c>
      <c r="FL6" s="40">
        <v>156.999</v>
      </c>
      <c r="FM6" s="37">
        <v>458</v>
      </c>
      <c r="FN6" s="37">
        <v>388</v>
      </c>
      <c r="FO6" s="37">
        <v>306</v>
      </c>
      <c r="FP6" s="37">
        <v>296</v>
      </c>
      <c r="FQ6" s="40">
        <v>233.03700000000001</v>
      </c>
      <c r="FR6" s="40">
        <v>186.37100000000001</v>
      </c>
      <c r="FS6" s="40">
        <v>136.42400000000001</v>
      </c>
      <c r="FT6" s="40">
        <v>125.34699999999999</v>
      </c>
      <c r="FU6" s="43">
        <v>133</v>
      </c>
      <c r="FV6" s="43">
        <v>108</v>
      </c>
      <c r="FW6" s="43">
        <v>94</v>
      </c>
      <c r="FX6" s="43">
        <v>96</v>
      </c>
      <c r="FY6" s="40">
        <v>66.953000000000003</v>
      </c>
      <c r="FZ6" s="40">
        <v>51.651000000000003</v>
      </c>
      <c r="GA6" s="40">
        <v>42.494</v>
      </c>
      <c r="GB6" s="40">
        <v>38.386000000000003</v>
      </c>
      <c r="GC6" s="149">
        <v>95</v>
      </c>
      <c r="GD6" s="149">
        <v>79</v>
      </c>
      <c r="GE6" s="149">
        <v>88</v>
      </c>
      <c r="GF6" s="149">
        <v>95</v>
      </c>
      <c r="GG6" s="183">
        <v>59.345999999999997</v>
      </c>
      <c r="GH6" s="183">
        <v>46.843000000000004</v>
      </c>
      <c r="GI6" s="183">
        <v>50.926000000000002</v>
      </c>
      <c r="GJ6" s="183">
        <v>49.069000000000003</v>
      </c>
      <c r="GK6" s="183"/>
      <c r="GL6" s="111" t="s">
        <v>253</v>
      </c>
      <c r="GM6" s="111" t="s">
        <v>254</v>
      </c>
      <c r="GN6" s="111" t="s">
        <v>255</v>
      </c>
      <c r="GO6" s="111" t="s">
        <v>256</v>
      </c>
      <c r="GP6" s="111" t="s">
        <v>257</v>
      </c>
      <c r="GQ6" s="111" t="s">
        <v>258</v>
      </c>
      <c r="GR6" s="111" t="s">
        <v>259</v>
      </c>
      <c r="GS6" s="111" t="s">
        <v>260</v>
      </c>
      <c r="GT6" s="111" t="s">
        <v>261</v>
      </c>
      <c r="GU6" s="111" t="s">
        <v>262</v>
      </c>
      <c r="GV6" s="111" t="s">
        <v>263</v>
      </c>
      <c r="GW6" s="111" t="s">
        <v>264</v>
      </c>
      <c r="GX6" s="111" t="s">
        <v>265</v>
      </c>
      <c r="GY6" s="111" t="s">
        <v>266</v>
      </c>
      <c r="GZ6" s="111" t="s">
        <v>267</v>
      </c>
      <c r="HA6" s="111" t="s">
        <v>268</v>
      </c>
      <c r="HB6" s="111" t="s">
        <v>269</v>
      </c>
      <c r="HC6" s="111" t="s">
        <v>270</v>
      </c>
      <c r="HD6" s="111" t="s">
        <v>271</v>
      </c>
      <c r="HE6" s="111" t="s">
        <v>272</v>
      </c>
      <c r="HF6" s="111" t="s">
        <v>273</v>
      </c>
      <c r="HG6" s="111" t="s">
        <v>274</v>
      </c>
      <c r="HH6" s="111" t="s">
        <v>275</v>
      </c>
      <c r="HI6" s="111" t="s">
        <v>276</v>
      </c>
      <c r="HJ6" s="111" t="s">
        <v>277</v>
      </c>
      <c r="HK6" s="111" t="s">
        <v>278</v>
      </c>
      <c r="HL6" s="111" t="s">
        <v>279</v>
      </c>
      <c r="HM6" s="111" t="s">
        <v>280</v>
      </c>
      <c r="HN6" s="111" t="s">
        <v>281</v>
      </c>
      <c r="HO6" s="111" t="s">
        <v>282</v>
      </c>
      <c r="HP6" s="111" t="s">
        <v>283</v>
      </c>
      <c r="HQ6" s="111" t="s">
        <v>284</v>
      </c>
      <c r="HR6" s="111" t="s">
        <v>285</v>
      </c>
      <c r="HS6" s="111" t="s">
        <v>286</v>
      </c>
      <c r="HT6" s="111" t="s">
        <v>287</v>
      </c>
      <c r="HU6" s="111" t="s">
        <v>288</v>
      </c>
      <c r="HV6" s="111" t="s">
        <v>289</v>
      </c>
      <c r="HW6" s="111" t="s">
        <v>290</v>
      </c>
      <c r="HX6" s="111" t="s">
        <v>291</v>
      </c>
      <c r="HY6" s="111" t="s">
        <v>292</v>
      </c>
      <c r="HZ6" s="111" t="s">
        <v>293</v>
      </c>
      <c r="IA6" s="112"/>
      <c r="IB6" s="112"/>
      <c r="IC6" s="112"/>
      <c r="ID6" s="112"/>
      <c r="IE6" s="112"/>
      <c r="IF6" s="112"/>
      <c r="IG6" s="112"/>
      <c r="IH6" s="112"/>
      <c r="II6" s="112"/>
      <c r="IJ6" s="112"/>
      <c r="IK6" s="112"/>
      <c r="IL6" s="112"/>
      <c r="IM6" s="112"/>
      <c r="IN6" s="112"/>
      <c r="IO6" s="112"/>
      <c r="IP6" s="112"/>
      <c r="IQ6" s="112"/>
      <c r="IR6" s="112"/>
      <c r="IS6" s="112"/>
    </row>
    <row r="7" spans="1:253" x14ac:dyDescent="0.2">
      <c r="A7" s="128">
        <v>4</v>
      </c>
      <c r="B7" s="129" t="s">
        <v>51</v>
      </c>
      <c r="C7" s="117">
        <v>45670</v>
      </c>
      <c r="D7" s="117">
        <v>45664</v>
      </c>
      <c r="E7" s="117">
        <v>45672</v>
      </c>
      <c r="F7" s="117">
        <v>46106</v>
      </c>
      <c r="G7" s="151">
        <v>46513</v>
      </c>
      <c r="H7" s="155">
        <v>34107</v>
      </c>
      <c r="I7" s="155">
        <v>565</v>
      </c>
      <c r="J7" s="155">
        <v>10361</v>
      </c>
      <c r="K7" s="155">
        <v>394</v>
      </c>
      <c r="L7" s="155">
        <v>1086</v>
      </c>
      <c r="M7" s="37">
        <v>17372</v>
      </c>
      <c r="N7" s="37">
        <v>17421</v>
      </c>
      <c r="O7" s="37">
        <v>17491</v>
      </c>
      <c r="P7" s="37">
        <v>17592</v>
      </c>
      <c r="Q7" s="37">
        <v>17912</v>
      </c>
      <c r="R7" s="50">
        <v>21.6</v>
      </c>
      <c r="S7" s="50">
        <v>22.5</v>
      </c>
      <c r="T7" s="50">
        <v>23.469949112914318</v>
      </c>
      <c r="U7" s="50">
        <v>24.479560288560631</v>
      </c>
      <c r="V7" s="50">
        <v>24.747871867628458</v>
      </c>
      <c r="W7" s="38">
        <v>33.200000000000003</v>
      </c>
      <c r="X7" s="38">
        <v>33.700000000000003</v>
      </c>
      <c r="Y7" s="38">
        <v>33.564846651079634</v>
      </c>
      <c r="Z7" s="38">
        <v>33.905874270010308</v>
      </c>
      <c r="AA7" s="38">
        <v>34.265495196745412</v>
      </c>
      <c r="AB7" s="50">
        <v>54.8</v>
      </c>
      <c r="AC7" s="50">
        <v>56.2</v>
      </c>
      <c r="AD7" s="50">
        <v>57.034795763993948</v>
      </c>
      <c r="AE7" s="50">
        <v>58.385434558570935</v>
      </c>
      <c r="AF7" s="50">
        <v>59.013367064373867</v>
      </c>
      <c r="AG7" s="40">
        <v>6.6</v>
      </c>
      <c r="AH7" s="40">
        <v>5.2193225985563574</v>
      </c>
      <c r="AI7" s="40">
        <v>4.829425209514941</v>
      </c>
      <c r="AJ7" s="40">
        <v>5.2774824580055286</v>
      </c>
      <c r="AK7" s="40">
        <v>4.9856184084372011</v>
      </c>
      <c r="AL7" s="37">
        <v>4124.75</v>
      </c>
      <c r="AM7" s="37">
        <v>3869.8333333333335</v>
      </c>
      <c r="AN7" s="243">
        <v>3608</v>
      </c>
      <c r="AO7" s="37">
        <v>3067.6666666666665</v>
      </c>
      <c r="AP7" s="243">
        <v>2865</v>
      </c>
      <c r="AQ7" s="190">
        <v>34701.871775167419</v>
      </c>
      <c r="AR7" s="190">
        <v>36380.642477062211</v>
      </c>
      <c r="AS7" s="190">
        <v>37716.587993168985</v>
      </c>
      <c r="AT7" s="190">
        <v>38353.325380644594</v>
      </c>
      <c r="AU7" s="190">
        <v>40453.25</v>
      </c>
      <c r="AV7" s="161">
        <v>44787.75</v>
      </c>
      <c r="AW7" s="161">
        <v>44058.560000000005</v>
      </c>
      <c r="AX7" s="161">
        <v>45454.239999999998</v>
      </c>
      <c r="AY7" s="161">
        <v>47411.93</v>
      </c>
      <c r="AZ7" s="161">
        <v>47336</v>
      </c>
      <c r="BA7" s="41">
        <v>20.2</v>
      </c>
      <c r="BB7" s="41">
        <v>18.5</v>
      </c>
      <c r="BC7" s="41">
        <v>16.2</v>
      </c>
      <c r="BD7" s="41">
        <v>18.3</v>
      </c>
      <c r="BE7" s="41">
        <v>18.8</v>
      </c>
      <c r="BF7" s="41">
        <v>27.3</v>
      </c>
      <c r="BG7" s="41">
        <v>24.8</v>
      </c>
      <c r="BH7" s="41">
        <v>23.5</v>
      </c>
      <c r="BI7" s="41">
        <v>24.8</v>
      </c>
      <c r="BJ7" s="41">
        <v>24.8</v>
      </c>
      <c r="BK7" s="37">
        <v>8141</v>
      </c>
      <c r="BL7" s="37">
        <v>8231</v>
      </c>
      <c r="BM7" s="37">
        <v>8009</v>
      </c>
      <c r="BN7" s="37">
        <v>8309</v>
      </c>
      <c r="BO7" s="40">
        <v>58.653728043237933</v>
      </c>
      <c r="BP7" s="40">
        <v>59.081521078848255</v>
      </c>
      <c r="BQ7" s="40">
        <v>58.271944062929208</v>
      </c>
      <c r="BR7" s="40">
        <v>56.890119147911896</v>
      </c>
      <c r="BS7" s="50">
        <v>1.0932317897064243</v>
      </c>
      <c r="BT7" s="50">
        <v>0.20653626533835501</v>
      </c>
      <c r="BU7" s="50">
        <v>0.22474715944562368</v>
      </c>
      <c r="BV7" s="50">
        <v>0.20459742447948007</v>
      </c>
      <c r="BW7" s="40">
        <v>18.658641444539981</v>
      </c>
      <c r="BX7" s="40">
        <v>19.244320252703194</v>
      </c>
      <c r="BY7" s="40">
        <v>17.567736296666251</v>
      </c>
      <c r="BZ7" s="40">
        <v>20.243109880852089</v>
      </c>
      <c r="CA7" s="40">
        <v>60.75949367088608</v>
      </c>
      <c r="CB7" s="40">
        <v>62.72285251215559</v>
      </c>
      <c r="CC7" s="40">
        <v>66.17</v>
      </c>
      <c r="CD7" s="40">
        <v>64.59</v>
      </c>
      <c r="CE7" s="40">
        <v>11.39240506329114</v>
      </c>
      <c r="CF7" s="40">
        <v>13.843648208469055</v>
      </c>
      <c r="CG7" s="40">
        <v>11.99</v>
      </c>
      <c r="CH7" s="40">
        <v>13.11</v>
      </c>
      <c r="CI7" s="101">
        <v>2901</v>
      </c>
      <c r="CJ7" s="101">
        <v>3378</v>
      </c>
      <c r="CK7" s="101">
        <v>3636</v>
      </c>
      <c r="CL7" s="101">
        <v>3369</v>
      </c>
      <c r="CM7" s="40">
        <v>14.569469904326645</v>
      </c>
      <c r="CN7" s="40">
        <v>19.649588161384894</v>
      </c>
      <c r="CO7" s="40">
        <v>16.285506973744322</v>
      </c>
      <c r="CP7" s="40">
        <v>14.671747414262384</v>
      </c>
      <c r="CQ7" s="101">
        <v>129</v>
      </c>
      <c r="CR7" s="101">
        <v>153</v>
      </c>
      <c r="CS7" s="101">
        <v>178</v>
      </c>
      <c r="CT7" s="101">
        <v>153</v>
      </c>
      <c r="CU7" s="40">
        <v>4.5</v>
      </c>
      <c r="CV7" s="40">
        <v>4.7</v>
      </c>
      <c r="CW7" s="40">
        <v>5</v>
      </c>
      <c r="CX7" s="40">
        <v>4.7</v>
      </c>
      <c r="CY7" s="37">
        <v>202</v>
      </c>
      <c r="CZ7" s="101">
        <v>241</v>
      </c>
      <c r="DA7" s="101">
        <v>302</v>
      </c>
      <c r="DB7" s="101">
        <v>279</v>
      </c>
      <c r="DC7" s="40">
        <v>9</v>
      </c>
      <c r="DD7" s="40">
        <v>8.8000000000000007</v>
      </c>
      <c r="DE7" s="40">
        <v>9.4</v>
      </c>
      <c r="DF7" s="40">
        <v>8.5</v>
      </c>
      <c r="DG7" s="40">
        <v>72.5</v>
      </c>
      <c r="DH7" s="40">
        <v>72.5</v>
      </c>
      <c r="DI7" s="40">
        <v>72.400000000000006</v>
      </c>
      <c r="DJ7" s="40">
        <v>72.099999999999994</v>
      </c>
      <c r="DK7" s="40">
        <v>18.600000000000001</v>
      </c>
      <c r="DL7" s="40">
        <v>26.6</v>
      </c>
      <c r="DM7" s="40">
        <v>28.5</v>
      </c>
      <c r="DN7" s="40">
        <v>24.5</v>
      </c>
      <c r="DO7" s="40">
        <v>48.3</v>
      </c>
      <c r="DP7" s="40">
        <v>52.9</v>
      </c>
      <c r="DQ7" s="40">
        <v>57.8</v>
      </c>
      <c r="DR7" s="40">
        <v>57.5</v>
      </c>
      <c r="DS7" s="40">
        <v>45.2</v>
      </c>
      <c r="DT7" s="40">
        <v>54.3</v>
      </c>
      <c r="DU7" s="40">
        <v>53</v>
      </c>
      <c r="DV7" s="40">
        <v>31.1</v>
      </c>
      <c r="DW7" s="43">
        <v>367</v>
      </c>
      <c r="DX7" s="43">
        <v>13</v>
      </c>
      <c r="DY7" s="15">
        <v>264</v>
      </c>
      <c r="DZ7" s="43">
        <v>4</v>
      </c>
      <c r="EA7" s="43">
        <v>11</v>
      </c>
      <c r="EB7" s="43">
        <v>23</v>
      </c>
      <c r="EC7" s="43">
        <v>23</v>
      </c>
      <c r="ED7" s="43">
        <v>35</v>
      </c>
      <c r="EE7" s="43">
        <v>34</v>
      </c>
      <c r="EF7" s="101">
        <v>1629</v>
      </c>
      <c r="EG7" s="101">
        <v>1714</v>
      </c>
      <c r="EH7" s="101">
        <v>1847</v>
      </c>
      <c r="EI7" s="101">
        <v>2041</v>
      </c>
      <c r="EJ7" s="174">
        <v>326</v>
      </c>
      <c r="EK7" s="174">
        <v>2</v>
      </c>
      <c r="EL7" s="174">
        <v>92</v>
      </c>
      <c r="EM7" s="174"/>
      <c r="EN7" s="174">
        <v>1</v>
      </c>
      <c r="EO7" s="40">
        <v>821.69</v>
      </c>
      <c r="EP7" s="40">
        <v>799.60799999999995</v>
      </c>
      <c r="EQ7" s="40">
        <v>831.19600000000003</v>
      </c>
      <c r="ER7" s="40">
        <v>893.76400000000001</v>
      </c>
      <c r="ES7" s="40">
        <v>862.23900000000003</v>
      </c>
      <c r="ET7" s="40">
        <v>807.24599999999998</v>
      </c>
      <c r="EU7" s="40">
        <v>771.83900000000006</v>
      </c>
      <c r="EV7" s="40">
        <v>786.66</v>
      </c>
      <c r="EW7" s="40">
        <v>1041.0909999999999</v>
      </c>
      <c r="EX7" s="40">
        <v>1035.3409999999999</v>
      </c>
      <c r="EY7" s="40">
        <v>923.24599999999998</v>
      </c>
      <c r="EZ7" s="40">
        <v>904.41600000000005</v>
      </c>
      <c r="FA7" s="40">
        <v>709.44</v>
      </c>
      <c r="FB7" s="40">
        <v>628.298</v>
      </c>
      <c r="FC7" s="40">
        <v>645.27700000000004</v>
      </c>
      <c r="FD7" s="40">
        <v>681.85699999999997</v>
      </c>
      <c r="FE7" s="37">
        <v>335</v>
      </c>
      <c r="FF7" s="37">
        <v>379</v>
      </c>
      <c r="FG7" s="37">
        <v>393</v>
      </c>
      <c r="FH7" s="37">
        <v>428</v>
      </c>
      <c r="FI7" s="40">
        <v>181.89099999999999</v>
      </c>
      <c r="FJ7" s="40">
        <v>183.839</v>
      </c>
      <c r="FK7" s="40">
        <v>166.88300000000001</v>
      </c>
      <c r="FL7" s="40">
        <v>161.38</v>
      </c>
      <c r="FM7" s="37">
        <v>368</v>
      </c>
      <c r="FN7" s="37">
        <v>330</v>
      </c>
      <c r="FO7" s="37">
        <v>361</v>
      </c>
      <c r="FP7" s="37">
        <v>335</v>
      </c>
      <c r="FQ7" s="40">
        <v>192.774</v>
      </c>
      <c r="FR7" s="40">
        <v>154.27000000000001</v>
      </c>
      <c r="FS7" s="40">
        <v>147.13999999999999</v>
      </c>
      <c r="FT7" s="40">
        <v>129.28700000000001</v>
      </c>
      <c r="FU7" s="43">
        <v>100</v>
      </c>
      <c r="FV7" s="43">
        <v>93</v>
      </c>
      <c r="FW7" s="43">
        <v>95</v>
      </c>
      <c r="FX7" s="43">
        <v>81</v>
      </c>
      <c r="FY7" s="40">
        <v>51.993000000000002</v>
      </c>
      <c r="FZ7" s="40">
        <v>43.262999999999998</v>
      </c>
      <c r="GA7" s="40">
        <v>39.018999999999998</v>
      </c>
      <c r="GB7" s="40">
        <v>29.86</v>
      </c>
      <c r="GC7" s="149">
        <v>106</v>
      </c>
      <c r="GD7" s="149">
        <v>125</v>
      </c>
      <c r="GE7" s="149">
        <v>115</v>
      </c>
      <c r="GF7" s="149">
        <v>120</v>
      </c>
      <c r="GG7" s="183">
        <v>54.966000000000001</v>
      </c>
      <c r="GH7" s="183">
        <v>60.445</v>
      </c>
      <c r="GI7" s="183">
        <v>53.828000000000003</v>
      </c>
      <c r="GJ7" s="183">
        <v>53.639000000000003</v>
      </c>
      <c r="GK7" s="183"/>
      <c r="GL7" s="111" t="s">
        <v>294</v>
      </c>
      <c r="GM7" s="111" t="s">
        <v>295</v>
      </c>
      <c r="GN7" s="111" t="s">
        <v>296</v>
      </c>
      <c r="GO7" s="111" t="s">
        <v>297</v>
      </c>
      <c r="GP7" s="111" t="s">
        <v>298</v>
      </c>
      <c r="GQ7" s="111" t="s">
        <v>299</v>
      </c>
      <c r="GR7" s="111" t="s">
        <v>300</v>
      </c>
      <c r="GS7" s="111" t="s">
        <v>301</v>
      </c>
      <c r="GT7" s="111" t="s">
        <v>302</v>
      </c>
      <c r="GU7" s="111" t="s">
        <v>303</v>
      </c>
      <c r="GV7" s="111" t="s">
        <v>304</v>
      </c>
      <c r="GW7" s="111" t="s">
        <v>305</v>
      </c>
      <c r="GX7" s="111" t="s">
        <v>306</v>
      </c>
      <c r="GY7" s="111" t="s">
        <v>307</v>
      </c>
      <c r="GZ7" s="111" t="s">
        <v>308</v>
      </c>
      <c r="HA7" s="111" t="s">
        <v>309</v>
      </c>
      <c r="HB7" s="111" t="s">
        <v>310</v>
      </c>
      <c r="HC7" s="111" t="s">
        <v>311</v>
      </c>
      <c r="HD7" s="111" t="s">
        <v>312</v>
      </c>
      <c r="HE7" s="111" t="s">
        <v>313</v>
      </c>
      <c r="HF7" s="111" t="s">
        <v>314</v>
      </c>
      <c r="HG7" s="111" t="s">
        <v>315</v>
      </c>
      <c r="HH7" s="111" t="s">
        <v>316</v>
      </c>
      <c r="HI7" s="111" t="s">
        <v>317</v>
      </c>
      <c r="HJ7" s="111" t="s">
        <v>318</v>
      </c>
      <c r="HK7" s="111" t="s">
        <v>319</v>
      </c>
      <c r="HL7" s="111" t="s">
        <v>320</v>
      </c>
      <c r="HM7" s="111" t="s">
        <v>321</v>
      </c>
      <c r="HN7" s="111" t="s">
        <v>322</v>
      </c>
      <c r="HO7" s="111" t="s">
        <v>323</v>
      </c>
      <c r="HP7" s="111" t="s">
        <v>324</v>
      </c>
      <c r="HQ7" s="111" t="s">
        <v>325</v>
      </c>
      <c r="HR7" s="111" t="s">
        <v>326</v>
      </c>
      <c r="HS7" s="111" t="s">
        <v>327</v>
      </c>
      <c r="HT7" s="111" t="s">
        <v>328</v>
      </c>
      <c r="HU7" s="111" t="s">
        <v>329</v>
      </c>
      <c r="HV7" s="111" t="s">
        <v>330</v>
      </c>
      <c r="HW7" s="111" t="s">
        <v>331</v>
      </c>
      <c r="HX7" s="111" t="s">
        <v>332</v>
      </c>
      <c r="HY7" s="111" t="s">
        <v>333</v>
      </c>
      <c r="HZ7" s="111" t="s">
        <v>334</v>
      </c>
      <c r="IA7" s="112"/>
      <c r="IB7" s="112"/>
      <c r="IC7" s="112"/>
      <c r="ID7" s="112"/>
      <c r="IE7" s="112"/>
      <c r="IF7" s="112"/>
      <c r="IG7" s="112"/>
      <c r="IH7" s="112"/>
      <c r="II7" s="112"/>
      <c r="IJ7" s="112"/>
      <c r="IK7" s="112"/>
      <c r="IL7" s="112"/>
      <c r="IM7" s="112"/>
      <c r="IN7" s="112"/>
      <c r="IO7" s="112"/>
      <c r="IP7" s="112"/>
      <c r="IQ7" s="112"/>
      <c r="IR7" s="112"/>
      <c r="IS7" s="112"/>
    </row>
    <row r="8" spans="1:253" x14ac:dyDescent="0.2">
      <c r="A8" s="128">
        <v>5</v>
      </c>
      <c r="B8" s="129" t="s">
        <v>52</v>
      </c>
      <c r="C8" s="117">
        <v>39214</v>
      </c>
      <c r="D8" s="117">
        <v>39506</v>
      </c>
      <c r="E8" s="117">
        <v>39710</v>
      </c>
      <c r="F8" s="117">
        <v>39992</v>
      </c>
      <c r="G8" s="151">
        <v>39937</v>
      </c>
      <c r="H8" s="155">
        <v>36431</v>
      </c>
      <c r="I8" s="155">
        <v>1779</v>
      </c>
      <c r="J8" s="155">
        <v>214</v>
      </c>
      <c r="K8" s="155">
        <v>561</v>
      </c>
      <c r="L8" s="155">
        <v>952</v>
      </c>
      <c r="M8" s="37">
        <v>15445</v>
      </c>
      <c r="N8" s="37">
        <v>15598</v>
      </c>
      <c r="O8" s="37">
        <v>15686</v>
      </c>
      <c r="P8" s="37">
        <v>15842</v>
      </c>
      <c r="Q8" s="37">
        <v>16012</v>
      </c>
      <c r="R8" s="50">
        <v>20</v>
      </c>
      <c r="S8" s="50">
        <v>20.6</v>
      </c>
      <c r="T8" s="50">
        <v>21.69450981905166</v>
      </c>
      <c r="U8" s="50">
        <v>22.665633475397133</v>
      </c>
      <c r="V8" s="50">
        <v>21.186244204018546</v>
      </c>
      <c r="W8" s="38">
        <v>31.2</v>
      </c>
      <c r="X8" s="38">
        <v>31.8</v>
      </c>
      <c r="Y8" s="38">
        <v>31.513561479995371</v>
      </c>
      <c r="Z8" s="38">
        <v>32.282061216582719</v>
      </c>
      <c r="AA8" s="38">
        <v>33.129829984544052</v>
      </c>
      <c r="AB8" s="50">
        <v>51.2</v>
      </c>
      <c r="AC8" s="50">
        <v>52.5</v>
      </c>
      <c r="AD8" s="50">
        <v>53.208071299047035</v>
      </c>
      <c r="AE8" s="50">
        <v>54.947694691979855</v>
      </c>
      <c r="AF8" s="50">
        <v>54.316074188562602</v>
      </c>
      <c r="AG8" s="40">
        <v>5.8</v>
      </c>
      <c r="AH8" s="40">
        <v>4.9692599269634359</v>
      </c>
      <c r="AI8" s="40">
        <v>4.4221886861480773</v>
      </c>
      <c r="AJ8" s="40">
        <v>4.4614670380687098</v>
      </c>
      <c r="AK8" s="40">
        <v>4.1851936740774693</v>
      </c>
      <c r="AL8" s="37">
        <v>2022.5</v>
      </c>
      <c r="AM8" s="37">
        <v>1893.1666666666667</v>
      </c>
      <c r="AN8" s="37">
        <v>1785.0833333333333</v>
      </c>
      <c r="AO8" s="37">
        <v>1706</v>
      </c>
      <c r="AP8" s="37">
        <v>1647</v>
      </c>
      <c r="AQ8" s="190">
        <v>37820.787046473706</v>
      </c>
      <c r="AR8" s="190">
        <v>39126.782961460449</v>
      </c>
      <c r="AS8" s="190">
        <v>40154.451577171916</v>
      </c>
      <c r="AT8" s="190">
        <v>40620.406081216242</v>
      </c>
      <c r="AU8" s="190">
        <v>43382.57</v>
      </c>
      <c r="AV8" s="161">
        <v>54923.4</v>
      </c>
      <c r="AW8" s="161">
        <v>53626.560000000005</v>
      </c>
      <c r="AX8" s="161">
        <v>54632.240000000005</v>
      </c>
      <c r="AY8" s="161">
        <v>54088.39</v>
      </c>
      <c r="AZ8" s="161">
        <v>58572</v>
      </c>
      <c r="BA8" s="41">
        <v>11.9</v>
      </c>
      <c r="BB8" s="41">
        <v>13.6</v>
      </c>
      <c r="BC8" s="41">
        <v>11.4</v>
      </c>
      <c r="BD8" s="41">
        <v>8.5</v>
      </c>
      <c r="BE8" s="41">
        <v>9.6999999999999993</v>
      </c>
      <c r="BF8" s="41">
        <v>14.3</v>
      </c>
      <c r="BG8" s="41">
        <v>14.8</v>
      </c>
      <c r="BH8" s="41">
        <v>13.5</v>
      </c>
      <c r="BI8" s="41">
        <v>11.4</v>
      </c>
      <c r="BJ8" s="41">
        <v>10.1</v>
      </c>
      <c r="BK8" s="37">
        <v>6090</v>
      </c>
      <c r="BL8" s="37">
        <v>6274</v>
      </c>
      <c r="BM8" s="37">
        <v>6366</v>
      </c>
      <c r="BN8" s="37">
        <v>7022</v>
      </c>
      <c r="BO8" s="40">
        <v>33.399014778325125</v>
      </c>
      <c r="BP8" s="40">
        <v>33.216448836467961</v>
      </c>
      <c r="BQ8" s="40">
        <v>31.479736098020734</v>
      </c>
      <c r="BR8" s="40">
        <v>33.779549985759047</v>
      </c>
      <c r="BS8" s="50">
        <v>0.47619047619047616</v>
      </c>
      <c r="BT8" s="50">
        <v>0.7013069811922219</v>
      </c>
      <c r="BU8" s="50">
        <v>0.78542255733584665</v>
      </c>
      <c r="BV8" s="50">
        <v>2.1076616348618629</v>
      </c>
      <c r="BW8" s="40">
        <v>16.962233169129721</v>
      </c>
      <c r="BX8" s="40">
        <v>16.97481670385719</v>
      </c>
      <c r="BY8" s="40">
        <v>15.865535658184102</v>
      </c>
      <c r="BZ8" s="40">
        <v>17.402449444602677</v>
      </c>
      <c r="CA8" s="40">
        <v>89.569160997732425</v>
      </c>
      <c r="CB8" s="40">
        <v>90.398126463700237</v>
      </c>
      <c r="CC8" s="40">
        <v>90.04</v>
      </c>
      <c r="CD8" s="40">
        <v>88.63</v>
      </c>
      <c r="CE8" s="40">
        <v>2.947845804988662</v>
      </c>
      <c r="CF8" s="40">
        <v>1.1682242990654206</v>
      </c>
      <c r="CG8" s="40">
        <v>1.55</v>
      </c>
      <c r="CH8" s="40">
        <v>2.79</v>
      </c>
      <c r="CI8" s="101">
        <v>2695</v>
      </c>
      <c r="CJ8" s="101">
        <v>2990</v>
      </c>
      <c r="CK8" s="101">
        <v>2907</v>
      </c>
      <c r="CL8" s="101">
        <v>2824</v>
      </c>
      <c r="CM8" s="40">
        <v>15.409157442137042</v>
      </c>
      <c r="CN8" s="40">
        <v>19.315744592883537</v>
      </c>
      <c r="CO8" s="40">
        <v>14.827244998928888</v>
      </c>
      <c r="CP8" s="40">
        <v>14.236813051084145</v>
      </c>
      <c r="CQ8" s="101">
        <v>128</v>
      </c>
      <c r="CR8" s="101">
        <v>159</v>
      </c>
      <c r="CS8" s="101">
        <v>139</v>
      </c>
      <c r="CT8" s="101">
        <v>130</v>
      </c>
      <c r="CU8" s="40">
        <v>4.9000000000000004</v>
      </c>
      <c r="CV8" s="40">
        <v>5.5</v>
      </c>
      <c r="CW8" s="40">
        <v>4.9000000000000004</v>
      </c>
      <c r="CX8" s="40">
        <v>4.8</v>
      </c>
      <c r="CY8" s="37">
        <v>202</v>
      </c>
      <c r="CZ8" s="101">
        <v>286</v>
      </c>
      <c r="DA8" s="101">
        <v>289</v>
      </c>
      <c r="DB8" s="101">
        <v>226</v>
      </c>
      <c r="DC8" s="40">
        <v>7.8</v>
      </c>
      <c r="DD8" s="40">
        <v>10</v>
      </c>
      <c r="DE8" s="40">
        <v>10.3</v>
      </c>
      <c r="DF8" s="40">
        <v>8.3000000000000007</v>
      </c>
      <c r="DG8" s="40">
        <v>89.8</v>
      </c>
      <c r="DH8" s="40">
        <v>90.1</v>
      </c>
      <c r="DI8" s="40">
        <v>88.4</v>
      </c>
      <c r="DJ8" s="40">
        <v>83.8</v>
      </c>
      <c r="DK8" s="40">
        <v>16.8</v>
      </c>
      <c r="DL8" s="40">
        <v>17.2</v>
      </c>
      <c r="DM8" s="40">
        <v>17.7</v>
      </c>
      <c r="DN8" s="40">
        <v>18</v>
      </c>
      <c r="DO8" s="40">
        <v>29.1</v>
      </c>
      <c r="DP8" s="40">
        <v>32.4</v>
      </c>
      <c r="DQ8" s="40">
        <v>33.200000000000003</v>
      </c>
      <c r="DR8" s="40">
        <v>34.200000000000003</v>
      </c>
      <c r="DS8" s="40">
        <v>40.1</v>
      </c>
      <c r="DT8" s="40">
        <v>34.799999999999997</v>
      </c>
      <c r="DU8" s="40">
        <v>25.5</v>
      </c>
      <c r="DV8" s="40">
        <v>14.3</v>
      </c>
      <c r="DW8" s="43">
        <v>458</v>
      </c>
      <c r="DX8" s="43">
        <v>41</v>
      </c>
      <c r="DY8" s="15">
        <v>7</v>
      </c>
      <c r="DZ8" s="43">
        <v>7</v>
      </c>
      <c r="EA8" s="43">
        <v>15</v>
      </c>
      <c r="EB8" s="43">
        <v>16</v>
      </c>
      <c r="EC8" s="43">
        <v>23</v>
      </c>
      <c r="ED8" s="43">
        <v>11</v>
      </c>
      <c r="EE8" s="43">
        <v>14</v>
      </c>
      <c r="EF8" s="101">
        <v>1547</v>
      </c>
      <c r="EG8" s="101">
        <v>1568</v>
      </c>
      <c r="EH8" s="101">
        <v>1544</v>
      </c>
      <c r="EI8" s="101">
        <v>1744</v>
      </c>
      <c r="EJ8" s="174">
        <v>361</v>
      </c>
      <c r="EK8" s="174">
        <v>2</v>
      </c>
      <c r="EL8" s="174">
        <v>3</v>
      </c>
      <c r="EM8" s="174">
        <v>1</v>
      </c>
      <c r="EN8" s="174"/>
      <c r="EO8" s="40">
        <v>903.99099999999999</v>
      </c>
      <c r="EP8" s="40">
        <v>814.44</v>
      </c>
      <c r="EQ8" s="40">
        <v>803.1</v>
      </c>
      <c r="ER8" s="40">
        <v>878.36800000000005</v>
      </c>
      <c r="ES8" s="40">
        <v>904.42899999999997</v>
      </c>
      <c r="ET8" s="40">
        <v>884.19200000000001</v>
      </c>
      <c r="EU8" s="40">
        <v>724.67899999999997</v>
      </c>
      <c r="EV8" s="40">
        <v>717.94799999999998</v>
      </c>
      <c r="EW8" s="40">
        <v>1128.0139999999999</v>
      </c>
      <c r="EX8" s="40">
        <v>1084.479</v>
      </c>
      <c r="EY8" s="40">
        <v>869.73599999999999</v>
      </c>
      <c r="EZ8" s="40">
        <v>794.72500000000002</v>
      </c>
      <c r="FA8" s="40">
        <v>746.79399999999998</v>
      </c>
      <c r="FB8" s="40">
        <v>751.07899999999995</v>
      </c>
      <c r="FC8" s="40">
        <v>610.80899999999997</v>
      </c>
      <c r="FD8" s="40">
        <v>643.96199999999999</v>
      </c>
      <c r="FE8" s="37">
        <v>303</v>
      </c>
      <c r="FF8" s="37">
        <v>357</v>
      </c>
      <c r="FG8" s="37">
        <v>307</v>
      </c>
      <c r="FH8" s="37">
        <v>333</v>
      </c>
      <c r="FI8" s="40">
        <v>196.571</v>
      </c>
      <c r="FJ8" s="40">
        <v>213.11099999999999</v>
      </c>
      <c r="FK8" s="40">
        <v>155.393</v>
      </c>
      <c r="FL8" s="40">
        <v>143.94999999999999</v>
      </c>
      <c r="FM8" s="37">
        <v>455</v>
      </c>
      <c r="FN8" s="37">
        <v>404</v>
      </c>
      <c r="FO8" s="37">
        <v>333</v>
      </c>
      <c r="FP8" s="37">
        <v>306</v>
      </c>
      <c r="FQ8" s="40">
        <v>262.81</v>
      </c>
      <c r="FR8" s="40">
        <v>225.49700000000001</v>
      </c>
      <c r="FS8" s="40">
        <v>152.86000000000001</v>
      </c>
      <c r="FT8" s="40">
        <v>122.10899999999999</v>
      </c>
      <c r="FU8" s="43">
        <v>149</v>
      </c>
      <c r="FV8" s="43">
        <v>128</v>
      </c>
      <c r="FW8" s="43">
        <v>91</v>
      </c>
      <c r="FX8" s="43">
        <v>100</v>
      </c>
      <c r="FY8" s="40">
        <v>82.763999999999996</v>
      </c>
      <c r="FZ8" s="40">
        <v>69.322999999999993</v>
      </c>
      <c r="GA8" s="40">
        <v>41.152999999999999</v>
      </c>
      <c r="GB8" s="40">
        <v>42.631999999999998</v>
      </c>
      <c r="GC8" s="149">
        <v>79</v>
      </c>
      <c r="GD8" s="149">
        <v>63</v>
      </c>
      <c r="GE8" s="149">
        <v>69</v>
      </c>
      <c r="GF8" s="149">
        <v>101</v>
      </c>
      <c r="GG8" s="183">
        <v>44.613</v>
      </c>
      <c r="GH8" s="183">
        <v>33.226999999999997</v>
      </c>
      <c r="GI8" s="183">
        <v>34.713000000000001</v>
      </c>
      <c r="GJ8" s="183">
        <v>44.045999999999999</v>
      </c>
      <c r="GK8" s="183"/>
      <c r="GL8" s="111" t="s">
        <v>335</v>
      </c>
      <c r="GM8" s="111" t="s">
        <v>336</v>
      </c>
      <c r="GN8" s="111" t="s">
        <v>337</v>
      </c>
      <c r="GO8" s="111" t="s">
        <v>338</v>
      </c>
      <c r="GP8" s="111" t="s">
        <v>339</v>
      </c>
      <c r="GQ8" s="111" t="s">
        <v>340</v>
      </c>
      <c r="GR8" s="111" t="s">
        <v>341</v>
      </c>
      <c r="GS8" s="111" t="s">
        <v>342</v>
      </c>
      <c r="GT8" s="111" t="s">
        <v>343</v>
      </c>
      <c r="GU8" s="111" t="s">
        <v>344</v>
      </c>
      <c r="GV8" s="111" t="s">
        <v>345</v>
      </c>
      <c r="GW8" s="111" t="s">
        <v>346</v>
      </c>
      <c r="GX8" s="111" t="s">
        <v>347</v>
      </c>
      <c r="GY8" s="111" t="s">
        <v>348</v>
      </c>
      <c r="GZ8" s="111" t="s">
        <v>349</v>
      </c>
      <c r="HA8" s="111" t="s">
        <v>350</v>
      </c>
      <c r="HB8" s="111" t="s">
        <v>351</v>
      </c>
      <c r="HC8" s="111" t="s">
        <v>352</v>
      </c>
      <c r="HD8" s="111" t="s">
        <v>353</v>
      </c>
      <c r="HE8" s="111" t="s">
        <v>354</v>
      </c>
      <c r="HF8" s="111" t="s">
        <v>355</v>
      </c>
      <c r="HG8" s="111" t="s">
        <v>356</v>
      </c>
      <c r="HH8" s="111" t="s">
        <v>357</v>
      </c>
      <c r="HI8" s="111" t="s">
        <v>358</v>
      </c>
      <c r="HJ8" s="111" t="s">
        <v>359</v>
      </c>
      <c r="HK8" s="111" t="s">
        <v>360</v>
      </c>
      <c r="HL8" s="111" t="s">
        <v>361</v>
      </c>
      <c r="HM8" s="111" t="s">
        <v>362</v>
      </c>
      <c r="HN8" s="111" t="s">
        <v>363</v>
      </c>
      <c r="HO8" s="111" t="s">
        <v>364</v>
      </c>
      <c r="HP8" s="111" t="s">
        <v>365</v>
      </c>
      <c r="HQ8" s="111" t="s">
        <v>366</v>
      </c>
      <c r="HR8" s="111" t="s">
        <v>367</v>
      </c>
      <c r="HS8" s="111" t="s">
        <v>368</v>
      </c>
      <c r="HT8" s="111" t="s">
        <v>369</v>
      </c>
      <c r="HU8" s="111" t="s">
        <v>370</v>
      </c>
      <c r="HV8" s="111" t="s">
        <v>371</v>
      </c>
      <c r="HW8" s="111" t="s">
        <v>372</v>
      </c>
      <c r="HX8" s="111" t="s">
        <v>373</v>
      </c>
      <c r="HY8" s="111" t="s">
        <v>374</v>
      </c>
      <c r="HZ8" s="111" t="s">
        <v>375</v>
      </c>
      <c r="IA8" s="112"/>
      <c r="IB8" s="112"/>
      <c r="IC8" s="112"/>
      <c r="ID8" s="112"/>
      <c r="IE8" s="112"/>
      <c r="IF8" s="112"/>
      <c r="IG8" s="112"/>
      <c r="IH8" s="112"/>
      <c r="II8" s="112"/>
      <c r="IJ8" s="112"/>
      <c r="IK8" s="112"/>
      <c r="IL8" s="112"/>
      <c r="IM8" s="112"/>
      <c r="IN8" s="112"/>
      <c r="IO8" s="112"/>
      <c r="IP8" s="112"/>
      <c r="IQ8" s="112"/>
      <c r="IR8" s="112"/>
      <c r="IS8" s="112"/>
    </row>
    <row r="9" spans="1:253" x14ac:dyDescent="0.2">
      <c r="A9" s="128">
        <v>6</v>
      </c>
      <c r="B9" s="129" t="s">
        <v>53</v>
      </c>
      <c r="C9" s="117">
        <v>5122</v>
      </c>
      <c r="D9" s="117">
        <v>5127</v>
      </c>
      <c r="E9" s="117">
        <v>5040</v>
      </c>
      <c r="F9" s="117">
        <v>5050</v>
      </c>
      <c r="G9" s="151">
        <v>5026</v>
      </c>
      <c r="H9" s="155">
        <v>4860</v>
      </c>
      <c r="I9" s="155">
        <v>34</v>
      </c>
      <c r="J9" s="155">
        <v>30</v>
      </c>
      <c r="K9" s="155">
        <v>15</v>
      </c>
      <c r="L9" s="155">
        <v>87</v>
      </c>
      <c r="M9" s="37">
        <v>2245</v>
      </c>
      <c r="N9" s="37">
        <v>2246</v>
      </c>
      <c r="O9" s="37">
        <v>2235</v>
      </c>
      <c r="P9" s="37">
        <v>2239</v>
      </c>
      <c r="Q9" s="37">
        <v>2240</v>
      </c>
      <c r="R9" s="50">
        <v>44.6</v>
      </c>
      <c r="S9" s="50">
        <v>44.9</v>
      </c>
      <c r="T9" s="50">
        <v>45.759162303664922</v>
      </c>
      <c r="U9" s="50">
        <v>45.350052246603973</v>
      </c>
      <c r="V9" s="50">
        <v>44.895104895104893</v>
      </c>
      <c r="W9" s="38">
        <v>28.6</v>
      </c>
      <c r="X9" s="38">
        <v>30</v>
      </c>
      <c r="Y9" s="38">
        <v>30.157068062827225</v>
      </c>
      <c r="Z9" s="38">
        <v>30.546847788227101</v>
      </c>
      <c r="AA9" s="38">
        <v>30.83916083916084</v>
      </c>
      <c r="AB9" s="50">
        <v>73.2</v>
      </c>
      <c r="AC9" s="50">
        <v>74.900000000000006</v>
      </c>
      <c r="AD9" s="50">
        <v>75.916230366492144</v>
      </c>
      <c r="AE9" s="50">
        <v>75.896900034831077</v>
      </c>
      <c r="AF9" s="50">
        <v>75.734265734265733</v>
      </c>
      <c r="AG9" s="40">
        <v>5.0999999999999996</v>
      </c>
      <c r="AH9" s="40">
        <v>4.3747580332946185</v>
      </c>
      <c r="AI9" s="40">
        <v>4.4452608376193981</v>
      </c>
      <c r="AJ9" s="40">
        <v>4.8565121412803531</v>
      </c>
      <c r="AK9" s="40">
        <v>4.4090403853278985</v>
      </c>
      <c r="AL9" s="37">
        <v>213.16666666666666</v>
      </c>
      <c r="AM9" s="37">
        <v>183</v>
      </c>
      <c r="AN9" s="37">
        <v>173.75</v>
      </c>
      <c r="AO9" s="37">
        <v>170.33333333333334</v>
      </c>
      <c r="AP9" s="37">
        <v>183.5</v>
      </c>
      <c r="AQ9" s="190">
        <v>52581.353942477006</v>
      </c>
      <c r="AR9" s="190">
        <v>48885.483304042187</v>
      </c>
      <c r="AS9" s="190">
        <v>52486.351726875742</v>
      </c>
      <c r="AT9" s="190">
        <v>51716.401980198025</v>
      </c>
      <c r="AU9" s="190">
        <v>49769.599999999999</v>
      </c>
      <c r="AV9" s="161">
        <v>46420.5</v>
      </c>
      <c r="AW9" s="161">
        <v>46422.48</v>
      </c>
      <c r="AX9" s="161">
        <v>48354.8</v>
      </c>
      <c r="AY9" s="161">
        <v>49010.49</v>
      </c>
      <c r="AZ9" s="161">
        <v>48553</v>
      </c>
      <c r="BA9" s="41">
        <v>12.8</v>
      </c>
      <c r="BB9" s="41">
        <v>12.8</v>
      </c>
      <c r="BC9" s="41">
        <v>11.5</v>
      </c>
      <c r="BD9" s="41">
        <v>11.9</v>
      </c>
      <c r="BE9" s="41">
        <v>12.3</v>
      </c>
      <c r="BF9" s="41">
        <v>19.2</v>
      </c>
      <c r="BG9" s="41">
        <v>17</v>
      </c>
      <c r="BH9" s="41">
        <v>15.9</v>
      </c>
      <c r="BI9" s="41">
        <v>15.9</v>
      </c>
      <c r="BJ9" s="41">
        <v>16</v>
      </c>
      <c r="BK9" s="37">
        <v>824</v>
      </c>
      <c r="BL9" s="37">
        <v>820</v>
      </c>
      <c r="BM9" s="37">
        <v>830</v>
      </c>
      <c r="BN9" s="37">
        <v>839</v>
      </c>
      <c r="BO9" s="40">
        <v>42.597087378640779</v>
      </c>
      <c r="BP9" s="40">
        <v>42.560975609756099</v>
      </c>
      <c r="BQ9" s="40">
        <v>41.204819277108435</v>
      </c>
      <c r="BR9" s="40">
        <v>41.239570917759238</v>
      </c>
      <c r="BS9" s="50">
        <v>2.063106796116505</v>
      </c>
      <c r="BT9" s="50">
        <v>1.3414634146341464</v>
      </c>
      <c r="BU9" s="50">
        <v>1.5662650602409638</v>
      </c>
      <c r="BV9" s="50">
        <v>1.4302741358760429</v>
      </c>
      <c r="BW9" s="40">
        <v>15.048543689320388</v>
      </c>
      <c r="BX9" s="40">
        <v>15.975609756097562</v>
      </c>
      <c r="BY9" s="40">
        <v>16.14457831325301</v>
      </c>
      <c r="BZ9" s="40">
        <v>20.023837902264603</v>
      </c>
      <c r="CA9" s="40">
        <v>91.891891891891902</v>
      </c>
      <c r="CB9" s="40">
        <v>92.307692307692307</v>
      </c>
      <c r="CC9" s="40">
        <v>93.42</v>
      </c>
      <c r="CD9" s="40">
        <v>87.69</v>
      </c>
      <c r="CE9" s="40">
        <v>1.3513513513513513</v>
      </c>
      <c r="CF9" s="40">
        <v>0</v>
      </c>
      <c r="CG9" s="40">
        <v>2.63</v>
      </c>
      <c r="CH9" s="40">
        <v>1.54</v>
      </c>
      <c r="CI9" s="101">
        <v>276</v>
      </c>
      <c r="CJ9" s="101">
        <v>277</v>
      </c>
      <c r="CK9" s="101">
        <v>305</v>
      </c>
      <c r="CL9" s="101">
        <v>276</v>
      </c>
      <c r="CM9" s="40">
        <v>9.7029354895412201</v>
      </c>
      <c r="CN9" s="40">
        <v>12.603512603512604</v>
      </c>
      <c r="CO9" s="40">
        <v>11.602693346521093</v>
      </c>
      <c r="CP9" s="40">
        <v>10.881135422826731</v>
      </c>
      <c r="CQ9" s="101">
        <v>11</v>
      </c>
      <c r="CR9" s="101">
        <v>4</v>
      </c>
      <c r="CS9" s="101">
        <v>9</v>
      </c>
      <c r="CT9" s="101">
        <v>11</v>
      </c>
      <c r="CU9" s="40">
        <v>4</v>
      </c>
      <c r="CV9" s="40">
        <v>1.5</v>
      </c>
      <c r="CW9" s="40">
        <v>3.1</v>
      </c>
      <c r="CX9" s="40">
        <v>4.0999999999999996</v>
      </c>
      <c r="CY9" s="37">
        <v>22</v>
      </c>
      <c r="CZ9" s="101">
        <v>19</v>
      </c>
      <c r="DA9" s="101">
        <v>24</v>
      </c>
      <c r="DB9" s="101">
        <v>19</v>
      </c>
      <c r="DC9" s="40">
        <v>8.3000000000000007</v>
      </c>
      <c r="DD9" s="40">
        <v>7.1</v>
      </c>
      <c r="DE9" s="40">
        <v>8.3000000000000007</v>
      </c>
      <c r="DF9" s="40">
        <v>7</v>
      </c>
      <c r="DG9" s="40">
        <v>80.7</v>
      </c>
      <c r="DH9" s="40">
        <v>81.2</v>
      </c>
      <c r="DI9" s="40">
        <v>84.6</v>
      </c>
      <c r="DJ9" s="40">
        <v>81</v>
      </c>
      <c r="DK9" s="40">
        <v>17.100000000000001</v>
      </c>
      <c r="DL9" s="40">
        <v>10.8</v>
      </c>
      <c r="DM9" s="40">
        <v>15.7</v>
      </c>
      <c r="DN9" s="40">
        <v>12.7</v>
      </c>
      <c r="DO9" s="40">
        <v>26.1</v>
      </c>
      <c r="DP9" s="40">
        <v>21.3</v>
      </c>
      <c r="DQ9" s="40">
        <v>26.6</v>
      </c>
      <c r="DR9" s="40">
        <v>28.3</v>
      </c>
      <c r="DS9" s="40">
        <v>30.3</v>
      </c>
      <c r="DT9" s="40">
        <v>16.100000000000001</v>
      </c>
      <c r="DU9" s="40">
        <v>22.1</v>
      </c>
      <c r="DV9" s="40">
        <v>12.7</v>
      </c>
      <c r="DW9" s="43">
        <v>60</v>
      </c>
      <c r="DX9" s="43">
        <v>0</v>
      </c>
      <c r="DY9" s="15">
        <v>0</v>
      </c>
      <c r="DZ9" s="43">
        <v>1</v>
      </c>
      <c r="EA9" s="43">
        <v>3</v>
      </c>
      <c r="EB9" s="43">
        <v>1</v>
      </c>
      <c r="EC9" s="43">
        <v>1</v>
      </c>
      <c r="ED9" s="43">
        <v>2</v>
      </c>
      <c r="EE9" s="43">
        <v>3</v>
      </c>
      <c r="EF9" s="101">
        <v>465</v>
      </c>
      <c r="EG9" s="101">
        <v>403</v>
      </c>
      <c r="EH9" s="101">
        <v>400</v>
      </c>
      <c r="EI9" s="101">
        <v>375</v>
      </c>
      <c r="EJ9" s="174">
        <v>79</v>
      </c>
      <c r="EK9" s="174"/>
      <c r="EL9" s="174">
        <v>2</v>
      </c>
      <c r="EM9" s="174"/>
      <c r="EN9" s="174"/>
      <c r="EO9" s="40">
        <v>1597.9380000000001</v>
      </c>
      <c r="EP9" s="40">
        <v>1470.5350000000001</v>
      </c>
      <c r="EQ9" s="40">
        <v>1518.3150000000001</v>
      </c>
      <c r="ER9" s="40">
        <v>1488.095</v>
      </c>
      <c r="ES9" s="40">
        <v>854.726</v>
      </c>
      <c r="ET9" s="40">
        <v>766.24300000000005</v>
      </c>
      <c r="EU9" s="40">
        <v>706.79700000000003</v>
      </c>
      <c r="EV9" s="40">
        <v>668.61099999999999</v>
      </c>
      <c r="EW9" s="40">
        <v>1068.3810000000001</v>
      </c>
      <c r="EX9" s="40">
        <v>909.56799999999998</v>
      </c>
      <c r="EY9" s="40">
        <v>879.46100000000001</v>
      </c>
      <c r="EZ9" s="40">
        <v>806.83799999999997</v>
      </c>
      <c r="FA9" s="40">
        <v>681.428</v>
      </c>
      <c r="FB9" s="40">
        <v>627.68499999999995</v>
      </c>
      <c r="FC9" s="40">
        <v>597.31399999999996</v>
      </c>
      <c r="FD9" s="40">
        <v>527.56600000000003</v>
      </c>
      <c r="FE9" s="37">
        <v>124</v>
      </c>
      <c r="FF9" s="37">
        <v>100</v>
      </c>
      <c r="FG9" s="37">
        <v>98</v>
      </c>
      <c r="FH9" s="37">
        <v>82</v>
      </c>
      <c r="FI9" s="40">
        <v>243.696</v>
      </c>
      <c r="FJ9" s="40">
        <v>199.05600000000001</v>
      </c>
      <c r="FK9" s="40">
        <v>188.506</v>
      </c>
      <c r="FL9" s="40">
        <v>160.53299999999999</v>
      </c>
      <c r="FM9" s="37">
        <v>159</v>
      </c>
      <c r="FN9" s="37">
        <v>115</v>
      </c>
      <c r="FO9" s="37">
        <v>103</v>
      </c>
      <c r="FP9" s="37">
        <v>84</v>
      </c>
      <c r="FQ9" s="40">
        <v>270.089</v>
      </c>
      <c r="FR9" s="40">
        <v>193.886</v>
      </c>
      <c r="FS9" s="40">
        <v>165.63800000000001</v>
      </c>
      <c r="FT9" s="40">
        <v>133.744</v>
      </c>
      <c r="FU9" s="43">
        <v>44</v>
      </c>
      <c r="FV9" s="43">
        <v>39</v>
      </c>
      <c r="FW9" s="43">
        <v>27</v>
      </c>
      <c r="FX9" s="43">
        <v>26</v>
      </c>
      <c r="FY9" s="40">
        <v>69.108999999999995</v>
      </c>
      <c r="FZ9" s="40">
        <v>62.314</v>
      </c>
      <c r="GA9" s="40">
        <v>39.122</v>
      </c>
      <c r="GB9" s="40">
        <v>39.055999999999997</v>
      </c>
      <c r="GC9" s="149">
        <v>15</v>
      </c>
      <c r="GD9" s="149">
        <v>20</v>
      </c>
      <c r="GE9" s="149">
        <v>15</v>
      </c>
      <c r="GF9" s="149">
        <v>21</v>
      </c>
      <c r="GG9" s="183">
        <v>45.064999999999998</v>
      </c>
      <c r="GH9" s="183">
        <v>63.628</v>
      </c>
      <c r="GI9" s="183">
        <v>38.247</v>
      </c>
      <c r="GJ9" s="183">
        <v>59.420999999999999</v>
      </c>
      <c r="GK9" s="183"/>
      <c r="GL9" s="111" t="s">
        <v>376</v>
      </c>
      <c r="GM9" s="111" t="s">
        <v>377</v>
      </c>
      <c r="GN9" s="111" t="s">
        <v>378</v>
      </c>
      <c r="GO9" s="111" t="s">
        <v>379</v>
      </c>
      <c r="GP9" s="111" t="s">
        <v>380</v>
      </c>
      <c r="GQ9" s="111" t="s">
        <v>381</v>
      </c>
      <c r="GR9" s="111" t="s">
        <v>382</v>
      </c>
      <c r="GS9" s="111" t="s">
        <v>383</v>
      </c>
      <c r="GT9" s="111" t="s">
        <v>384</v>
      </c>
      <c r="GU9" s="111" t="s">
        <v>385</v>
      </c>
      <c r="GV9" s="111" t="s">
        <v>386</v>
      </c>
      <c r="GW9" s="111" t="s">
        <v>387</v>
      </c>
      <c r="GX9" s="111" t="s">
        <v>388</v>
      </c>
      <c r="GY9" s="111" t="s">
        <v>389</v>
      </c>
      <c r="GZ9" s="111" t="s">
        <v>390</v>
      </c>
      <c r="HA9" s="111" t="s">
        <v>391</v>
      </c>
      <c r="HB9" s="111" t="s">
        <v>392</v>
      </c>
      <c r="HC9" s="111" t="s">
        <v>393</v>
      </c>
      <c r="HD9" s="111" t="s">
        <v>394</v>
      </c>
      <c r="HE9" s="111" t="s">
        <v>395</v>
      </c>
      <c r="HF9" s="111" t="s">
        <v>396</v>
      </c>
      <c r="HG9" s="111" t="s">
        <v>397</v>
      </c>
      <c r="HH9" s="111" t="s">
        <v>398</v>
      </c>
      <c r="HI9" s="111" t="s">
        <v>399</v>
      </c>
      <c r="HJ9" s="111" t="s">
        <v>400</v>
      </c>
      <c r="HK9" s="111" t="s">
        <v>401</v>
      </c>
      <c r="HL9" s="111" t="s">
        <v>402</v>
      </c>
      <c r="HM9" s="111" t="s">
        <v>403</v>
      </c>
      <c r="HN9" s="111" t="s">
        <v>404</v>
      </c>
      <c r="HO9" s="111" t="s">
        <v>405</v>
      </c>
      <c r="HP9" s="111" t="s">
        <v>406</v>
      </c>
      <c r="HQ9" s="111" t="s">
        <v>407</v>
      </c>
      <c r="HR9" s="111" t="s">
        <v>408</v>
      </c>
      <c r="HS9" s="111" t="s">
        <v>409</v>
      </c>
      <c r="HT9" s="111" t="s">
        <v>410</v>
      </c>
      <c r="HU9" s="111" t="s">
        <v>411</v>
      </c>
      <c r="HV9" s="111" t="s">
        <v>412</v>
      </c>
      <c r="HW9" s="111" t="s">
        <v>413</v>
      </c>
      <c r="HX9" s="111" t="s">
        <v>414</v>
      </c>
      <c r="HY9" s="111" t="s">
        <v>415</v>
      </c>
      <c r="HZ9" s="111" t="s">
        <v>416</v>
      </c>
      <c r="IA9" s="112"/>
      <c r="IB9" s="112"/>
      <c r="IC9" s="112"/>
      <c r="ID9" s="112"/>
      <c r="IE9" s="112"/>
      <c r="IF9" s="112"/>
      <c r="IG9" s="112"/>
      <c r="IH9" s="112"/>
      <c r="II9" s="112"/>
      <c r="IJ9" s="112"/>
      <c r="IK9" s="112"/>
      <c r="IL9" s="112"/>
      <c r="IM9" s="112"/>
      <c r="IN9" s="112"/>
      <c r="IO9" s="112"/>
      <c r="IP9" s="112"/>
      <c r="IQ9" s="112"/>
      <c r="IR9" s="112"/>
      <c r="IS9" s="112"/>
    </row>
    <row r="10" spans="1:253" ht="21" customHeight="1" x14ac:dyDescent="0.2">
      <c r="A10" s="128">
        <v>7</v>
      </c>
      <c r="B10" s="129" t="s">
        <v>54</v>
      </c>
      <c r="C10" s="117">
        <v>65528</v>
      </c>
      <c r="D10" s="117">
        <v>65385</v>
      </c>
      <c r="E10" s="117">
        <v>65787</v>
      </c>
      <c r="F10" s="117">
        <v>66441</v>
      </c>
      <c r="G10" s="151">
        <v>66973</v>
      </c>
      <c r="H10" s="155">
        <v>59594</v>
      </c>
      <c r="I10" s="155">
        <v>3087</v>
      </c>
      <c r="J10" s="155">
        <v>213</v>
      </c>
      <c r="K10" s="155">
        <v>1674</v>
      </c>
      <c r="L10" s="155">
        <v>2405</v>
      </c>
      <c r="M10" s="40">
        <v>25277</v>
      </c>
      <c r="N10" s="40">
        <v>25499</v>
      </c>
      <c r="O10" s="40">
        <v>25703</v>
      </c>
      <c r="P10" s="106">
        <v>26236</v>
      </c>
      <c r="Q10" s="106">
        <v>26462</v>
      </c>
      <c r="R10" s="51">
        <v>17.7</v>
      </c>
      <c r="S10" s="51">
        <v>18.399999999999999</v>
      </c>
      <c r="T10" s="51">
        <v>18.803641092327698</v>
      </c>
      <c r="U10" s="51">
        <v>19.339653059908429</v>
      </c>
      <c r="V10" s="51">
        <v>19.238652376275674</v>
      </c>
      <c r="W10" s="38">
        <v>23.5</v>
      </c>
      <c r="X10" s="38">
        <v>23.8</v>
      </c>
      <c r="Y10" s="38">
        <v>23.777633289986998</v>
      </c>
      <c r="Z10" s="38">
        <v>23.479718836654413</v>
      </c>
      <c r="AA10" s="38">
        <v>23.749946624535635</v>
      </c>
      <c r="AB10" s="51">
        <v>41.2</v>
      </c>
      <c r="AC10" s="51">
        <v>42.2</v>
      </c>
      <c r="AD10" s="51">
        <v>42.581274382314696</v>
      </c>
      <c r="AE10" s="51">
        <v>42.819371896562842</v>
      </c>
      <c r="AF10" s="51">
        <v>42.988599000811305</v>
      </c>
      <c r="AG10" s="39">
        <v>4.2</v>
      </c>
      <c r="AH10" s="39">
        <v>3.4025538501225334</v>
      </c>
      <c r="AI10" s="39">
        <v>2.9512644619637554</v>
      </c>
      <c r="AJ10" s="39">
        <v>3.209951610042816</v>
      </c>
      <c r="AK10" s="39">
        <v>3.0197123604545912</v>
      </c>
      <c r="AL10" s="43">
        <v>2666.4166666666665</v>
      </c>
      <c r="AM10" s="43">
        <v>2387.1666666666665</v>
      </c>
      <c r="AN10" s="43">
        <v>2222.9166666666665</v>
      </c>
      <c r="AO10" s="43">
        <v>2234.5</v>
      </c>
      <c r="AP10" s="43">
        <v>2230.25</v>
      </c>
      <c r="AQ10" s="190">
        <v>40944.919407033012</v>
      </c>
      <c r="AR10" s="190">
        <v>42808.519401161015</v>
      </c>
      <c r="AS10" s="190">
        <v>43674.244796813473</v>
      </c>
      <c r="AT10" s="190">
        <v>42912.713535317052</v>
      </c>
      <c r="AU10" s="190">
        <v>44709.21</v>
      </c>
      <c r="AV10" s="162">
        <v>51227.4</v>
      </c>
      <c r="AW10" s="162">
        <v>53334.32</v>
      </c>
      <c r="AX10" s="162">
        <v>51493.520000000004</v>
      </c>
      <c r="AY10" s="161">
        <v>51153.919999999998</v>
      </c>
      <c r="AZ10" s="161">
        <v>56137</v>
      </c>
      <c r="BA10" s="49">
        <v>17</v>
      </c>
      <c r="BB10" s="49">
        <v>17.899999999999999</v>
      </c>
      <c r="BC10" s="49">
        <v>17.2</v>
      </c>
      <c r="BD10" s="49">
        <v>15</v>
      </c>
      <c r="BE10" s="49">
        <v>16.3</v>
      </c>
      <c r="BF10" s="42">
        <v>13.5</v>
      </c>
      <c r="BG10" s="42">
        <v>16.8</v>
      </c>
      <c r="BH10" s="42">
        <v>14</v>
      </c>
      <c r="BI10" s="42">
        <v>13</v>
      </c>
      <c r="BJ10" s="42">
        <v>12.4</v>
      </c>
      <c r="BK10" s="36">
        <v>10533</v>
      </c>
      <c r="BL10" s="36">
        <v>10881</v>
      </c>
      <c r="BM10" s="36">
        <v>10900</v>
      </c>
      <c r="BN10" s="36">
        <v>8692</v>
      </c>
      <c r="BO10" s="40">
        <v>35.298585398272095</v>
      </c>
      <c r="BP10" s="40">
        <v>35.805532579726126</v>
      </c>
      <c r="BQ10" s="40">
        <v>34.348623853211009</v>
      </c>
      <c r="BR10" s="40">
        <v>35.009203865623562</v>
      </c>
      <c r="BS10" s="51">
        <v>4.2532991550365518</v>
      </c>
      <c r="BT10" s="51">
        <v>3.9058910026651961</v>
      </c>
      <c r="BU10" s="51">
        <v>4.3577981651376145</v>
      </c>
      <c r="BV10" s="51">
        <v>4.3833410032213527</v>
      </c>
      <c r="BW10" s="39">
        <v>15.256811924427987</v>
      </c>
      <c r="BX10" s="39">
        <v>15.448947707012223</v>
      </c>
      <c r="BY10" s="39">
        <v>13.596330275229358</v>
      </c>
      <c r="BZ10" s="39">
        <v>14.783709157846294</v>
      </c>
      <c r="CA10" s="40">
        <v>84.196547144754319</v>
      </c>
      <c r="CB10" s="40">
        <v>86.037234042553195</v>
      </c>
      <c r="CC10" s="40">
        <v>86.11</v>
      </c>
      <c r="CD10" s="40">
        <v>88.56</v>
      </c>
      <c r="CE10" s="40">
        <v>5.8432934926958824</v>
      </c>
      <c r="CF10" s="40">
        <v>6.8181818181818183</v>
      </c>
      <c r="CG10" s="40">
        <v>4.88</v>
      </c>
      <c r="CH10" s="40">
        <v>3.44</v>
      </c>
      <c r="CI10" s="105">
        <v>3330</v>
      </c>
      <c r="CJ10" s="105">
        <v>3701</v>
      </c>
      <c r="CK10" s="104">
        <v>3839</v>
      </c>
      <c r="CL10" s="104">
        <v>3611</v>
      </c>
      <c r="CM10" s="39">
        <v>12.041004501817</v>
      </c>
      <c r="CN10" s="39">
        <v>15.850446476369944</v>
      </c>
      <c r="CO10" s="39">
        <v>12.191210515117545</v>
      </c>
      <c r="CP10" s="39">
        <v>10.938645437636694</v>
      </c>
      <c r="CQ10" s="104">
        <v>128</v>
      </c>
      <c r="CR10" s="104">
        <v>159</v>
      </c>
      <c r="CS10" s="104">
        <v>139</v>
      </c>
      <c r="CT10" s="104">
        <v>152</v>
      </c>
      <c r="CU10" s="39">
        <v>4</v>
      </c>
      <c r="CV10" s="39">
        <v>4.4000000000000004</v>
      </c>
      <c r="CW10" s="39">
        <v>3.8</v>
      </c>
      <c r="CX10" s="39">
        <v>4.4000000000000004</v>
      </c>
      <c r="CY10" s="36">
        <v>214</v>
      </c>
      <c r="CZ10" s="104">
        <v>265</v>
      </c>
      <c r="DA10" s="104">
        <v>228</v>
      </c>
      <c r="DB10" s="104">
        <v>238</v>
      </c>
      <c r="DC10" s="39">
        <v>7.1</v>
      </c>
      <c r="DD10" s="39">
        <v>7.8</v>
      </c>
      <c r="DE10" s="39">
        <v>6.3</v>
      </c>
      <c r="DF10" s="39">
        <v>6.8</v>
      </c>
      <c r="DG10" s="39">
        <v>88.2</v>
      </c>
      <c r="DH10" s="39">
        <v>89.6</v>
      </c>
      <c r="DI10" s="39">
        <v>90.4</v>
      </c>
      <c r="DJ10" s="39">
        <v>88.4</v>
      </c>
      <c r="DK10" s="39">
        <v>13.3</v>
      </c>
      <c r="DL10" s="39">
        <v>9.5</v>
      </c>
      <c r="DM10" s="39">
        <v>9.1</v>
      </c>
      <c r="DN10" s="39">
        <v>10.9</v>
      </c>
      <c r="DO10" s="39">
        <v>26.7</v>
      </c>
      <c r="DP10" s="39">
        <v>31.1</v>
      </c>
      <c r="DQ10" s="39">
        <v>30.2</v>
      </c>
      <c r="DR10" s="39">
        <v>32.799999999999997</v>
      </c>
      <c r="DS10" s="39">
        <v>15.7</v>
      </c>
      <c r="DT10" s="39">
        <v>15.8</v>
      </c>
      <c r="DU10" s="39">
        <v>12.1</v>
      </c>
      <c r="DV10" s="39">
        <v>7.3</v>
      </c>
      <c r="DW10" s="45">
        <v>571</v>
      </c>
      <c r="DX10" s="45">
        <v>65</v>
      </c>
      <c r="DY10" s="15">
        <v>5</v>
      </c>
      <c r="DZ10" s="45">
        <v>22</v>
      </c>
      <c r="EA10" s="45">
        <v>26</v>
      </c>
      <c r="EB10" s="45">
        <v>16</v>
      </c>
      <c r="EC10" s="45">
        <v>9</v>
      </c>
      <c r="ED10" s="45">
        <v>18</v>
      </c>
      <c r="EE10" s="45">
        <v>24</v>
      </c>
      <c r="EF10" s="104">
        <v>2209</v>
      </c>
      <c r="EG10" s="104">
        <v>2150</v>
      </c>
      <c r="EH10" s="104">
        <v>2303</v>
      </c>
      <c r="EI10" s="104">
        <v>2426</v>
      </c>
      <c r="EJ10" s="174">
        <v>483</v>
      </c>
      <c r="EK10" s="174">
        <v>8</v>
      </c>
      <c r="EL10" s="174"/>
      <c r="EM10" s="174">
        <v>3</v>
      </c>
      <c r="EN10" s="174">
        <v>3</v>
      </c>
      <c r="EO10" s="39">
        <v>789.76099999999997</v>
      </c>
      <c r="EP10" s="39">
        <v>740.99599999999998</v>
      </c>
      <c r="EQ10" s="39">
        <v>719.54100000000005</v>
      </c>
      <c r="ER10" s="39">
        <v>737.53200000000004</v>
      </c>
      <c r="ES10" s="39">
        <v>759.65499999999997</v>
      </c>
      <c r="ET10" s="39">
        <v>685.07600000000002</v>
      </c>
      <c r="EU10" s="39">
        <v>664.25699999999995</v>
      </c>
      <c r="EV10" s="39">
        <v>652.12599999999998</v>
      </c>
      <c r="EW10" s="39">
        <v>931.28200000000004</v>
      </c>
      <c r="EX10" s="39">
        <v>796.54100000000005</v>
      </c>
      <c r="EY10" s="39">
        <v>800.76</v>
      </c>
      <c r="EZ10" s="39">
        <v>790.85599999999999</v>
      </c>
      <c r="FA10" s="39">
        <v>636.89300000000003</v>
      </c>
      <c r="FB10" s="39">
        <v>604.947</v>
      </c>
      <c r="FC10" s="39">
        <v>558.68899999999996</v>
      </c>
      <c r="FD10" s="39">
        <v>542.05899999999997</v>
      </c>
      <c r="FE10" s="44">
        <v>511</v>
      </c>
      <c r="FF10" s="44">
        <v>452</v>
      </c>
      <c r="FG10" s="44">
        <v>511</v>
      </c>
      <c r="FH10" s="44">
        <v>505</v>
      </c>
      <c r="FI10" s="39">
        <v>191.45</v>
      </c>
      <c r="FJ10" s="39">
        <v>162.24799999999999</v>
      </c>
      <c r="FK10" s="39">
        <v>159.97900000000001</v>
      </c>
      <c r="FL10" s="39">
        <v>142.983</v>
      </c>
      <c r="FM10" s="45">
        <v>575</v>
      </c>
      <c r="FN10" s="45">
        <v>435</v>
      </c>
      <c r="FO10" s="36">
        <v>437</v>
      </c>
      <c r="FP10" s="45">
        <v>455</v>
      </c>
      <c r="FQ10" s="39">
        <v>193.405</v>
      </c>
      <c r="FR10" s="39">
        <v>131.23400000000001</v>
      </c>
      <c r="FS10" s="39">
        <v>120.434</v>
      </c>
      <c r="FT10" s="39">
        <v>118.72799999999999</v>
      </c>
      <c r="FU10" s="43">
        <v>185</v>
      </c>
      <c r="FV10" s="43">
        <v>140</v>
      </c>
      <c r="FW10" s="43">
        <v>115</v>
      </c>
      <c r="FX10" s="45">
        <v>131</v>
      </c>
      <c r="FY10" s="39">
        <v>58.869</v>
      </c>
      <c r="FZ10" s="39">
        <v>40.366999999999997</v>
      </c>
      <c r="GA10" s="39">
        <v>32.045999999999999</v>
      </c>
      <c r="GB10" s="39">
        <v>34.651000000000003</v>
      </c>
      <c r="GC10" s="150">
        <v>68</v>
      </c>
      <c r="GD10" s="150">
        <v>89</v>
      </c>
      <c r="GE10" s="150">
        <v>85</v>
      </c>
      <c r="GF10" s="150">
        <v>105</v>
      </c>
      <c r="GG10" s="182">
        <v>22.466000000000001</v>
      </c>
      <c r="GH10" s="182">
        <v>30.041</v>
      </c>
      <c r="GI10" s="182">
        <v>26.364999999999998</v>
      </c>
      <c r="GJ10" s="182">
        <v>30.096</v>
      </c>
      <c r="GK10" s="182"/>
      <c r="GL10" s="114"/>
      <c r="GM10" s="114"/>
      <c r="GN10" s="114"/>
      <c r="GP10" s="114"/>
      <c r="GQ10" s="114"/>
      <c r="GR10" s="114"/>
      <c r="GS10" s="114"/>
      <c r="GU10" s="114"/>
      <c r="GV10" s="114"/>
      <c r="GW10" s="114"/>
      <c r="GX10" s="114"/>
      <c r="HE10" s="113"/>
      <c r="HF10" s="113"/>
      <c r="HG10" s="113"/>
      <c r="HH10" s="113"/>
      <c r="HI10" s="113"/>
      <c r="HJ10" s="115"/>
      <c r="HK10" s="115"/>
      <c r="HL10" s="114"/>
      <c r="HV10" s="116"/>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row>
    <row r="11" spans="1:253" x14ac:dyDescent="0.2">
      <c r="A11" s="128">
        <v>8</v>
      </c>
      <c r="B11" s="129" t="s">
        <v>55</v>
      </c>
      <c r="C11" s="117">
        <v>25332</v>
      </c>
      <c r="D11" s="117">
        <v>25292</v>
      </c>
      <c r="E11" s="117">
        <v>25313</v>
      </c>
      <c r="F11" s="117">
        <v>25331</v>
      </c>
      <c r="G11" s="151">
        <v>25194</v>
      </c>
      <c r="H11" s="155">
        <v>23625</v>
      </c>
      <c r="I11" s="155">
        <v>191</v>
      </c>
      <c r="J11" s="155">
        <v>45</v>
      </c>
      <c r="K11" s="155">
        <v>209</v>
      </c>
      <c r="L11" s="155">
        <v>1124</v>
      </c>
      <c r="M11" s="40">
        <v>10706</v>
      </c>
      <c r="N11" s="40">
        <v>10786</v>
      </c>
      <c r="O11" s="40">
        <v>10846</v>
      </c>
      <c r="P11" s="106">
        <v>10858</v>
      </c>
      <c r="Q11" s="106">
        <v>10874</v>
      </c>
      <c r="R11" s="51">
        <v>31.9</v>
      </c>
      <c r="S11" s="51">
        <v>32.299999999999997</v>
      </c>
      <c r="T11" s="51">
        <v>32.924727063780885</v>
      </c>
      <c r="U11" s="51">
        <v>33.754512635379065</v>
      </c>
      <c r="V11" s="51">
        <v>33.846954034198035</v>
      </c>
      <c r="W11" s="38">
        <v>29</v>
      </c>
      <c r="X11" s="38">
        <v>28.9</v>
      </c>
      <c r="Y11" s="38">
        <v>28.68543701717423</v>
      </c>
      <c r="Z11" s="38">
        <v>29.544868488911813</v>
      </c>
      <c r="AA11" s="38">
        <v>29.952538846628958</v>
      </c>
      <c r="AB11" s="51">
        <v>60.9</v>
      </c>
      <c r="AC11" s="51">
        <v>61.2</v>
      </c>
      <c r="AD11" s="51">
        <v>61.610164080955123</v>
      </c>
      <c r="AE11" s="51">
        <v>63.299381124290875</v>
      </c>
      <c r="AF11" s="51">
        <v>63.799492880826989</v>
      </c>
      <c r="AG11" s="39">
        <v>4.9000000000000004</v>
      </c>
      <c r="AH11" s="39">
        <v>4.5142574117314087</v>
      </c>
      <c r="AI11" s="39">
        <v>4.1295326212667529</v>
      </c>
      <c r="AJ11" s="39">
        <v>4.1274144357844804</v>
      </c>
      <c r="AK11" s="39">
        <v>3.7868542061130648</v>
      </c>
      <c r="AL11" s="43">
        <v>803.66666666666663</v>
      </c>
      <c r="AM11" s="43">
        <v>746</v>
      </c>
      <c r="AN11" s="43">
        <v>727.75</v>
      </c>
      <c r="AO11" s="43">
        <v>704.08333333333337</v>
      </c>
      <c r="AP11" s="43">
        <v>670.5</v>
      </c>
      <c r="AQ11" s="190">
        <v>48007.334150876217</v>
      </c>
      <c r="AR11" s="190">
        <v>48386.786321407395</v>
      </c>
      <c r="AS11" s="190">
        <v>50250.974444049454</v>
      </c>
      <c r="AT11" s="190">
        <v>50041.01969918282</v>
      </c>
      <c r="AU11" s="190">
        <v>51539.14</v>
      </c>
      <c r="AV11" s="162">
        <v>50765.4</v>
      </c>
      <c r="AW11" s="162">
        <v>54143.44</v>
      </c>
      <c r="AX11" s="162">
        <v>54362.880000000005</v>
      </c>
      <c r="AY11" s="161">
        <v>58019.9</v>
      </c>
      <c r="AZ11" s="161">
        <v>57742</v>
      </c>
      <c r="BA11" s="49">
        <v>9.6</v>
      </c>
      <c r="BB11" s="49">
        <v>8.9</v>
      </c>
      <c r="BC11" s="49">
        <v>8.3000000000000007</v>
      </c>
      <c r="BD11" s="49">
        <v>8.1999999999999993</v>
      </c>
      <c r="BE11" s="49">
        <v>8</v>
      </c>
      <c r="BF11" s="42">
        <v>11.6</v>
      </c>
      <c r="BG11" s="42">
        <v>11.7</v>
      </c>
      <c r="BH11" s="42">
        <v>10.6</v>
      </c>
      <c r="BI11" s="42">
        <v>10.9</v>
      </c>
      <c r="BJ11" s="42">
        <v>9.9</v>
      </c>
      <c r="BK11" s="36">
        <v>3409</v>
      </c>
      <c r="BL11" s="36">
        <v>3482</v>
      </c>
      <c r="BM11" s="36">
        <v>3472</v>
      </c>
      <c r="BN11" s="36">
        <v>3598</v>
      </c>
      <c r="BO11" s="40">
        <v>35.875623349956001</v>
      </c>
      <c r="BP11" s="40">
        <v>36.186099942561746</v>
      </c>
      <c r="BQ11" s="40">
        <v>35.023041474654377</v>
      </c>
      <c r="BR11" s="40">
        <v>35.325180655919958</v>
      </c>
      <c r="BS11" s="51">
        <v>1.4667057788207685</v>
      </c>
      <c r="BT11" s="51">
        <v>1.7518667432510051</v>
      </c>
      <c r="BU11" s="51">
        <v>1.8721198156682028</v>
      </c>
      <c r="BV11" s="51">
        <v>2.2512506948304614</v>
      </c>
      <c r="BW11" s="39">
        <v>16.779114109709592</v>
      </c>
      <c r="BX11" s="39">
        <v>16.68581275129236</v>
      </c>
      <c r="BY11" s="39">
        <v>15.178571428571429</v>
      </c>
      <c r="BZ11" s="39">
        <v>18.28793774319066</v>
      </c>
      <c r="CA11" s="40">
        <v>89.259259259259267</v>
      </c>
      <c r="CB11" s="40">
        <v>87.593984962406012</v>
      </c>
      <c r="CC11" s="40">
        <v>85.51</v>
      </c>
      <c r="CD11" s="40">
        <v>85.31</v>
      </c>
      <c r="CE11" s="40">
        <v>5.1851851851851851</v>
      </c>
      <c r="CF11" s="40">
        <v>6.2730627306273066</v>
      </c>
      <c r="CG11" s="40">
        <v>4.95</v>
      </c>
      <c r="CH11" s="40">
        <v>7.19</v>
      </c>
      <c r="CI11" s="105">
        <v>1415</v>
      </c>
      <c r="CJ11" s="105">
        <v>1473</v>
      </c>
      <c r="CK11" s="104">
        <v>1414</v>
      </c>
      <c r="CL11" s="104">
        <v>1401</v>
      </c>
      <c r="CM11" s="39">
        <v>10.534779663035952</v>
      </c>
      <c r="CN11" s="39">
        <v>13.939491440414114</v>
      </c>
      <c r="CO11" s="39">
        <v>11.00243547546239</v>
      </c>
      <c r="CP11" s="39">
        <v>11.078426721070361</v>
      </c>
      <c r="CQ11" s="104">
        <v>45</v>
      </c>
      <c r="CR11" s="104">
        <v>63</v>
      </c>
      <c r="CS11" s="104">
        <v>49</v>
      </c>
      <c r="CT11" s="104">
        <v>55</v>
      </c>
      <c r="CU11" s="39">
        <v>3.3</v>
      </c>
      <c r="CV11" s="39">
        <v>4.4000000000000004</v>
      </c>
      <c r="CW11" s="39">
        <v>3.6</v>
      </c>
      <c r="CX11" s="39">
        <v>4.0999999999999996</v>
      </c>
      <c r="CY11" s="36">
        <v>93</v>
      </c>
      <c r="CZ11" s="104">
        <v>137</v>
      </c>
      <c r="DA11" s="104">
        <v>102</v>
      </c>
      <c r="DB11" s="104">
        <v>82</v>
      </c>
      <c r="DC11" s="39">
        <v>6.9</v>
      </c>
      <c r="DD11" s="39">
        <v>9.8000000000000007</v>
      </c>
      <c r="DE11" s="39">
        <v>7.7</v>
      </c>
      <c r="DF11" s="39">
        <v>6.2</v>
      </c>
      <c r="DG11" s="39">
        <v>86.6</v>
      </c>
      <c r="DH11" s="39">
        <v>89.2</v>
      </c>
      <c r="DI11" s="39">
        <v>89.9</v>
      </c>
      <c r="DJ11" s="39">
        <v>87.3</v>
      </c>
      <c r="DK11" s="39">
        <v>14.3</v>
      </c>
      <c r="DL11" s="39">
        <v>13</v>
      </c>
      <c r="DM11" s="39">
        <v>16.100000000000001</v>
      </c>
      <c r="DN11" s="39">
        <v>13.4</v>
      </c>
      <c r="DO11" s="39">
        <v>24.9</v>
      </c>
      <c r="DP11" s="39">
        <v>28.3</v>
      </c>
      <c r="DQ11" s="39">
        <v>33.200000000000003</v>
      </c>
      <c r="DR11" s="39">
        <v>33.799999999999997</v>
      </c>
      <c r="DS11" s="39">
        <v>23.7</v>
      </c>
      <c r="DT11" s="39">
        <v>19.600000000000001</v>
      </c>
      <c r="DU11" s="39">
        <v>19.2</v>
      </c>
      <c r="DV11" s="39">
        <v>17.100000000000001</v>
      </c>
      <c r="DW11" s="45">
        <v>251</v>
      </c>
      <c r="DX11" s="45">
        <v>1</v>
      </c>
      <c r="DY11" s="15">
        <v>0</v>
      </c>
      <c r="DZ11" s="45">
        <v>3</v>
      </c>
      <c r="EA11" s="45">
        <v>19</v>
      </c>
      <c r="EB11" s="45">
        <v>5</v>
      </c>
      <c r="EC11" s="45">
        <v>6</v>
      </c>
      <c r="ED11" s="45">
        <v>5</v>
      </c>
      <c r="EE11" s="45">
        <v>5</v>
      </c>
      <c r="EF11" s="104">
        <v>1370</v>
      </c>
      <c r="EG11" s="104">
        <v>1425</v>
      </c>
      <c r="EH11" s="104">
        <v>1416</v>
      </c>
      <c r="EI11" s="104">
        <v>1480</v>
      </c>
      <c r="EJ11" s="174">
        <v>298</v>
      </c>
      <c r="EK11" s="174"/>
      <c r="EL11" s="174"/>
      <c r="EM11" s="174"/>
      <c r="EN11" s="174">
        <v>4</v>
      </c>
      <c r="EO11" s="39">
        <v>1018.171</v>
      </c>
      <c r="EP11" s="39">
        <v>1074.0940000000001</v>
      </c>
      <c r="EQ11" s="39">
        <v>1093.732</v>
      </c>
      <c r="ER11" s="39">
        <v>1169.3599999999999</v>
      </c>
      <c r="ES11" s="39">
        <v>715.11</v>
      </c>
      <c r="ET11" s="39">
        <v>673.86900000000003</v>
      </c>
      <c r="EU11" s="39">
        <v>635.76599999999996</v>
      </c>
      <c r="EV11" s="39">
        <v>655.62900000000002</v>
      </c>
      <c r="EW11" s="39">
        <v>900.60900000000004</v>
      </c>
      <c r="EX11" s="39">
        <v>804.24199999999996</v>
      </c>
      <c r="EY11" s="39">
        <v>798.19200000000001</v>
      </c>
      <c r="EZ11" s="39">
        <v>782.60900000000004</v>
      </c>
      <c r="FA11" s="39">
        <v>581.89700000000005</v>
      </c>
      <c r="FB11" s="39">
        <v>567.25599999999997</v>
      </c>
      <c r="FC11" s="39">
        <v>506.923</v>
      </c>
      <c r="FD11" s="39">
        <v>547.25699999999995</v>
      </c>
      <c r="FE11" s="44">
        <v>337</v>
      </c>
      <c r="FF11" s="44">
        <v>335</v>
      </c>
      <c r="FG11" s="44">
        <v>319</v>
      </c>
      <c r="FH11" s="44">
        <v>335</v>
      </c>
      <c r="FI11" s="39">
        <v>187.298</v>
      </c>
      <c r="FJ11" s="39">
        <v>173.672</v>
      </c>
      <c r="FK11" s="39">
        <v>160.65799999999999</v>
      </c>
      <c r="FL11" s="39">
        <v>157.53399999999999</v>
      </c>
      <c r="FM11" s="45">
        <v>386</v>
      </c>
      <c r="FN11" s="45">
        <v>344</v>
      </c>
      <c r="FO11" s="36">
        <v>304</v>
      </c>
      <c r="FP11" s="45">
        <v>293</v>
      </c>
      <c r="FQ11" s="39">
        <v>190.72300000000001</v>
      </c>
      <c r="FR11" s="39">
        <v>151.065</v>
      </c>
      <c r="FS11" s="39">
        <v>125.602</v>
      </c>
      <c r="FT11" s="39">
        <v>122.74299999999999</v>
      </c>
      <c r="FU11" s="43">
        <v>100</v>
      </c>
      <c r="FV11" s="43">
        <v>99</v>
      </c>
      <c r="FW11" s="43">
        <v>88</v>
      </c>
      <c r="FX11" s="45">
        <v>93</v>
      </c>
      <c r="FY11" s="39">
        <v>48.71</v>
      </c>
      <c r="FZ11" s="39">
        <v>40.689</v>
      </c>
      <c r="GA11" s="39">
        <v>32.770000000000003</v>
      </c>
      <c r="GB11" s="39">
        <v>37.951000000000001</v>
      </c>
      <c r="GC11" s="150">
        <v>36</v>
      </c>
      <c r="GD11" s="150">
        <v>64</v>
      </c>
      <c r="GE11" s="150">
        <v>57</v>
      </c>
      <c r="GF11" s="150">
        <v>63</v>
      </c>
      <c r="GG11" s="182">
        <v>23.131</v>
      </c>
      <c r="GH11" s="182">
        <v>34.366</v>
      </c>
      <c r="GI11" s="182">
        <v>34.497999999999998</v>
      </c>
      <c r="GJ11" s="182">
        <v>35.222000000000001</v>
      </c>
      <c r="GK11" s="182"/>
      <c r="GL11" s="114"/>
      <c r="GM11" s="114"/>
      <c r="GN11" s="114"/>
      <c r="GP11" s="114"/>
      <c r="GQ11" s="114"/>
      <c r="GR11" s="114"/>
      <c r="GS11" s="114"/>
      <c r="GU11" s="114"/>
      <c r="GV11" s="114"/>
      <c r="GW11" s="114"/>
      <c r="GX11" s="114"/>
      <c r="HE11" s="113"/>
      <c r="HF11" s="113"/>
      <c r="HG11" s="113"/>
      <c r="HH11" s="113"/>
      <c r="HI11" s="113"/>
      <c r="HJ11" s="115"/>
      <c r="HK11" s="115"/>
      <c r="HL11" s="114"/>
      <c r="HV11" s="116"/>
      <c r="HW11" s="112"/>
      <c r="HX11" s="112"/>
      <c r="HY11" s="112"/>
      <c r="HZ11" s="112"/>
      <c r="IA11" s="112"/>
      <c r="IB11" s="112"/>
      <c r="IC11" s="112"/>
      <c r="ID11" s="112"/>
      <c r="IE11" s="112"/>
      <c r="IF11" s="112"/>
      <c r="IG11" s="112"/>
      <c r="IH11" s="112"/>
      <c r="II11" s="112"/>
      <c r="IJ11" s="112"/>
      <c r="IK11" s="112"/>
      <c r="IL11" s="112"/>
      <c r="IM11" s="112"/>
      <c r="IN11" s="112"/>
      <c r="IO11" s="112"/>
      <c r="IP11" s="112"/>
      <c r="IQ11" s="112"/>
      <c r="IR11" s="112"/>
      <c r="IS11" s="112"/>
    </row>
    <row r="12" spans="1:253" x14ac:dyDescent="0.2">
      <c r="A12" s="128">
        <v>9</v>
      </c>
      <c r="B12" s="129" t="s">
        <v>56</v>
      </c>
      <c r="C12" s="117">
        <v>35460</v>
      </c>
      <c r="D12" s="117">
        <v>35571</v>
      </c>
      <c r="E12" s="117">
        <v>35569</v>
      </c>
      <c r="F12" s="117">
        <v>35738</v>
      </c>
      <c r="G12" s="151">
        <v>35498</v>
      </c>
      <c r="H12" s="155">
        <v>31759</v>
      </c>
      <c r="I12" s="155">
        <v>678</v>
      </c>
      <c r="J12" s="155">
        <v>2241</v>
      </c>
      <c r="K12" s="155">
        <v>205</v>
      </c>
      <c r="L12" s="155">
        <v>615</v>
      </c>
      <c r="M12" s="40">
        <v>13585</v>
      </c>
      <c r="N12" s="40">
        <v>13647</v>
      </c>
      <c r="O12" s="40">
        <v>13667</v>
      </c>
      <c r="P12" s="106">
        <v>13709</v>
      </c>
      <c r="Q12" s="106">
        <v>13703</v>
      </c>
      <c r="R12" s="51">
        <v>24.5</v>
      </c>
      <c r="S12" s="51">
        <v>25</v>
      </c>
      <c r="T12" s="51">
        <v>25.897368879595749</v>
      </c>
      <c r="U12" s="51">
        <v>26.570258733339141</v>
      </c>
      <c r="V12" s="51">
        <v>26.460541298064289</v>
      </c>
      <c r="W12" s="38">
        <v>29.3</v>
      </c>
      <c r="X12" s="38">
        <v>29</v>
      </c>
      <c r="Y12" s="38">
        <v>29.046872277400244</v>
      </c>
      <c r="Z12" s="38">
        <v>29.09661120306647</v>
      </c>
      <c r="AA12" s="38">
        <v>29.000613120784795</v>
      </c>
      <c r="AB12" s="51">
        <v>53.8</v>
      </c>
      <c r="AC12" s="51">
        <v>54.1</v>
      </c>
      <c r="AD12" s="51">
        <v>54.944241156995986</v>
      </c>
      <c r="AE12" s="51">
        <v>55.666869936405604</v>
      </c>
      <c r="AF12" s="51">
        <v>55.461154418849091</v>
      </c>
      <c r="AG12" s="39">
        <v>6.1</v>
      </c>
      <c r="AH12" s="39">
        <v>5.180991593755361</v>
      </c>
      <c r="AI12" s="39">
        <v>4.9625949403232257</v>
      </c>
      <c r="AJ12" s="39">
        <v>5.4109943132862313</v>
      </c>
      <c r="AK12" s="39">
        <v>4.9329393043873608</v>
      </c>
      <c r="AL12" s="43">
        <v>1726.4166666666667</v>
      </c>
      <c r="AM12" s="43">
        <v>1606.8333333333333</v>
      </c>
      <c r="AN12" s="43">
        <v>1458.3333333333333</v>
      </c>
      <c r="AO12" s="43">
        <v>1426</v>
      </c>
      <c r="AP12" s="43">
        <v>1397.3333333333333</v>
      </c>
      <c r="AQ12" s="190">
        <v>37094.002375296906</v>
      </c>
      <c r="AR12" s="190">
        <v>38203.435146797528</v>
      </c>
      <c r="AS12" s="190">
        <v>39438.757316524097</v>
      </c>
      <c r="AT12" s="190">
        <v>39555.078068162737</v>
      </c>
      <c r="AU12" s="190">
        <v>41944.69</v>
      </c>
      <c r="AV12" s="162">
        <v>52551.450000000004</v>
      </c>
      <c r="AW12" s="162">
        <v>54776.800000000003</v>
      </c>
      <c r="AX12" s="162">
        <v>55422.64</v>
      </c>
      <c r="AY12" s="161">
        <v>56593.35</v>
      </c>
      <c r="AZ12" s="161">
        <v>60740</v>
      </c>
      <c r="BA12" s="49">
        <v>12.1</v>
      </c>
      <c r="BB12" s="49">
        <v>12.1</v>
      </c>
      <c r="BC12" s="49">
        <v>10.8</v>
      </c>
      <c r="BD12" s="49">
        <v>10.199999999999999</v>
      </c>
      <c r="BE12" s="49">
        <v>9.3000000000000007</v>
      </c>
      <c r="BF12" s="42">
        <v>14.1</v>
      </c>
      <c r="BG12" s="42">
        <v>13.7</v>
      </c>
      <c r="BH12" s="42">
        <v>12.2</v>
      </c>
      <c r="BI12" s="42">
        <v>12.4</v>
      </c>
      <c r="BJ12" s="42">
        <v>9.8000000000000007</v>
      </c>
      <c r="BK12" s="36">
        <v>6332</v>
      </c>
      <c r="BL12" s="36">
        <v>6408</v>
      </c>
      <c r="BM12" s="36">
        <v>6304</v>
      </c>
      <c r="BN12" s="36">
        <v>6510</v>
      </c>
      <c r="BO12" s="40">
        <v>35.723310170562222</v>
      </c>
      <c r="BP12" s="40">
        <v>35.611735330836453</v>
      </c>
      <c r="BQ12" s="40">
        <v>34.10532994923858</v>
      </c>
      <c r="BR12" s="40">
        <v>33.655913978494624</v>
      </c>
      <c r="BS12" s="51">
        <v>9.475679090334807E-2</v>
      </c>
      <c r="BT12" s="51" t="s">
        <v>481</v>
      </c>
      <c r="BU12" s="51" t="s">
        <v>481</v>
      </c>
      <c r="BV12" s="51">
        <v>9.2165898617511524E-2</v>
      </c>
      <c r="BW12" s="39">
        <v>14.971572962728995</v>
      </c>
      <c r="BX12" s="39">
        <v>15.402621722846442</v>
      </c>
      <c r="BY12" s="39">
        <v>15.038071065989847</v>
      </c>
      <c r="BZ12" s="39">
        <v>17.311827956989248</v>
      </c>
      <c r="CA12" s="40">
        <v>88.080808080808083</v>
      </c>
      <c r="CB12" s="40">
        <v>87.20930232558139</v>
      </c>
      <c r="CC12" s="40">
        <v>89.12</v>
      </c>
      <c r="CD12" s="40">
        <v>88.84</v>
      </c>
      <c r="CE12" s="40">
        <v>4.4444444444444446</v>
      </c>
      <c r="CF12" s="40">
        <v>6.5134099616858236</v>
      </c>
      <c r="CG12" s="40">
        <v>4.18</v>
      </c>
      <c r="CH12" s="40">
        <v>4.8099999999999996</v>
      </c>
      <c r="CI12" s="105">
        <v>1851</v>
      </c>
      <c r="CJ12" s="105">
        <v>2050</v>
      </c>
      <c r="CK12" s="104">
        <v>1973</v>
      </c>
      <c r="CL12" s="104">
        <v>1796</v>
      </c>
      <c r="CM12" s="39">
        <v>11.665941878273365</v>
      </c>
      <c r="CN12" s="39">
        <v>15.109748367410116</v>
      </c>
      <c r="CO12" s="39">
        <v>11.309895728837654</v>
      </c>
      <c r="CP12" s="39">
        <v>10.099192514451518</v>
      </c>
      <c r="CQ12" s="104">
        <v>77</v>
      </c>
      <c r="CR12" s="104">
        <v>71</v>
      </c>
      <c r="CS12" s="104">
        <v>87</v>
      </c>
      <c r="CT12" s="104">
        <v>81</v>
      </c>
      <c r="CU12" s="39">
        <v>4.3</v>
      </c>
      <c r="CV12" s="39">
        <v>3.6</v>
      </c>
      <c r="CW12" s="39">
        <v>4.5</v>
      </c>
      <c r="CX12" s="39">
        <v>4.7</v>
      </c>
      <c r="CY12" s="36">
        <v>129</v>
      </c>
      <c r="CZ12" s="104">
        <v>139</v>
      </c>
      <c r="DA12" s="104">
        <v>135</v>
      </c>
      <c r="DB12" s="104">
        <v>137</v>
      </c>
      <c r="DC12" s="39">
        <v>7.7</v>
      </c>
      <c r="DD12" s="39">
        <v>8.1</v>
      </c>
      <c r="DE12" s="39">
        <v>7.7</v>
      </c>
      <c r="DF12" s="39">
        <v>8</v>
      </c>
      <c r="DG12" s="39">
        <v>89.1</v>
      </c>
      <c r="DH12" s="39">
        <v>90.2</v>
      </c>
      <c r="DI12" s="39">
        <v>87.7</v>
      </c>
      <c r="DJ12" s="39">
        <v>85.2</v>
      </c>
      <c r="DK12" s="39">
        <v>21.6</v>
      </c>
      <c r="DL12" s="39">
        <v>20.8</v>
      </c>
      <c r="DM12" s="39">
        <v>20.3</v>
      </c>
      <c r="DN12" s="39">
        <v>18</v>
      </c>
      <c r="DO12" s="39">
        <v>31.8</v>
      </c>
      <c r="DP12" s="39">
        <v>33</v>
      </c>
      <c r="DQ12" s="39">
        <v>39.4</v>
      </c>
      <c r="DR12" s="39">
        <v>40.5</v>
      </c>
      <c r="DS12" s="39">
        <v>31.4</v>
      </c>
      <c r="DT12" s="39">
        <v>31.2</v>
      </c>
      <c r="DU12" s="39">
        <v>28.3</v>
      </c>
      <c r="DV12" s="39">
        <v>19.3</v>
      </c>
      <c r="DW12" s="45">
        <v>315</v>
      </c>
      <c r="DX12" s="45">
        <v>2</v>
      </c>
      <c r="DY12" s="15">
        <v>44</v>
      </c>
      <c r="DZ12" s="45">
        <v>0</v>
      </c>
      <c r="EA12" s="45">
        <v>4</v>
      </c>
      <c r="EB12" s="45">
        <v>12</v>
      </c>
      <c r="EC12" s="45">
        <v>7</v>
      </c>
      <c r="ED12" s="45">
        <v>12</v>
      </c>
      <c r="EE12" s="45">
        <v>7</v>
      </c>
      <c r="EF12" s="104">
        <v>1588</v>
      </c>
      <c r="EG12" s="104">
        <v>1665</v>
      </c>
      <c r="EH12" s="104">
        <v>1790</v>
      </c>
      <c r="EI12" s="104">
        <v>1907</v>
      </c>
      <c r="EJ12" s="174">
        <v>344</v>
      </c>
      <c r="EK12" s="174"/>
      <c r="EL12" s="174">
        <v>21</v>
      </c>
      <c r="EM12" s="174"/>
      <c r="EN12" s="174">
        <v>1</v>
      </c>
      <c r="EO12" s="39">
        <v>1002.81</v>
      </c>
      <c r="EP12" s="39">
        <v>978.66300000000001</v>
      </c>
      <c r="EQ12" s="39">
        <v>1011.7</v>
      </c>
      <c r="ER12" s="39">
        <v>1072.2819999999999</v>
      </c>
      <c r="ES12" s="39">
        <v>845.48400000000004</v>
      </c>
      <c r="ET12" s="39">
        <v>800.851</v>
      </c>
      <c r="EU12" s="39">
        <v>806.59799999999996</v>
      </c>
      <c r="EV12" s="39">
        <v>829.94799999999998</v>
      </c>
      <c r="EW12" s="39">
        <v>1046.463</v>
      </c>
      <c r="EX12" s="39">
        <v>982.75599999999997</v>
      </c>
      <c r="EY12" s="39">
        <v>937.51199999999994</v>
      </c>
      <c r="EZ12" s="39">
        <v>969.62199999999996</v>
      </c>
      <c r="FA12" s="39">
        <v>699.13400000000001</v>
      </c>
      <c r="FB12" s="39">
        <v>653.45600000000002</v>
      </c>
      <c r="FC12" s="39">
        <v>716.44200000000001</v>
      </c>
      <c r="FD12" s="39">
        <v>715.45699999999999</v>
      </c>
      <c r="FE12" s="44">
        <v>348</v>
      </c>
      <c r="FF12" s="44">
        <v>428</v>
      </c>
      <c r="FG12" s="44">
        <v>400</v>
      </c>
      <c r="FH12" s="44">
        <v>426</v>
      </c>
      <c r="FI12" s="39">
        <v>189.39500000000001</v>
      </c>
      <c r="FJ12" s="39">
        <v>213.59800000000001</v>
      </c>
      <c r="FK12" s="39">
        <v>183.43199999999999</v>
      </c>
      <c r="FL12" s="39">
        <v>181.39</v>
      </c>
      <c r="FM12" s="45">
        <v>416</v>
      </c>
      <c r="FN12" s="45">
        <v>399</v>
      </c>
      <c r="FO12" s="36">
        <v>379</v>
      </c>
      <c r="FP12" s="45">
        <v>407</v>
      </c>
      <c r="FQ12" s="39">
        <v>216.23599999999999</v>
      </c>
      <c r="FR12" s="39">
        <v>186.72200000000001</v>
      </c>
      <c r="FS12" s="39">
        <v>165.553</v>
      </c>
      <c r="FT12" s="39">
        <v>171.03299999999999</v>
      </c>
      <c r="FU12" s="43">
        <v>129</v>
      </c>
      <c r="FV12" s="43">
        <v>98</v>
      </c>
      <c r="FW12" s="43">
        <v>105</v>
      </c>
      <c r="FX12" s="45">
        <v>87</v>
      </c>
      <c r="FY12" s="39">
        <v>65.578000000000003</v>
      </c>
      <c r="FZ12" s="39">
        <v>44.779000000000003</v>
      </c>
      <c r="GA12" s="39">
        <v>44.645000000000003</v>
      </c>
      <c r="GB12" s="39">
        <v>36.784999999999997</v>
      </c>
      <c r="GC12" s="150">
        <v>79</v>
      </c>
      <c r="GD12" s="150">
        <v>78</v>
      </c>
      <c r="GE12" s="150">
        <v>93</v>
      </c>
      <c r="GF12" s="150">
        <v>102</v>
      </c>
      <c r="GG12" s="182">
        <v>47.679000000000002</v>
      </c>
      <c r="GH12" s="182">
        <v>40.899000000000001</v>
      </c>
      <c r="GI12" s="182">
        <v>48.936999999999998</v>
      </c>
      <c r="GJ12" s="182">
        <v>52.030999999999999</v>
      </c>
      <c r="GK12" s="182"/>
      <c r="GL12" s="114"/>
      <c r="GM12" s="114"/>
      <c r="GN12" s="114"/>
      <c r="GP12" s="114"/>
      <c r="GQ12" s="114"/>
      <c r="GR12" s="114"/>
      <c r="GS12" s="114"/>
      <c r="GU12" s="114"/>
      <c r="GV12" s="114"/>
      <c r="GW12" s="114"/>
      <c r="GX12" s="114"/>
      <c r="HE12" s="113"/>
      <c r="HF12" s="113"/>
      <c r="HG12" s="113"/>
      <c r="HH12" s="113"/>
      <c r="HI12" s="113"/>
      <c r="HJ12" s="115"/>
      <c r="HK12" s="115"/>
      <c r="HL12" s="114"/>
      <c r="HV12" s="116"/>
    </row>
    <row r="13" spans="1:253" x14ac:dyDescent="0.2">
      <c r="A13" s="128">
        <v>10</v>
      </c>
      <c r="B13" s="129" t="s">
        <v>134</v>
      </c>
      <c r="C13" s="117">
        <v>95562</v>
      </c>
      <c r="D13" s="117">
        <v>97338</v>
      </c>
      <c r="E13" s="117">
        <v>98741</v>
      </c>
      <c r="F13" s="117">
        <v>100262</v>
      </c>
      <c r="G13" s="151">
        <v>102119</v>
      </c>
      <c r="H13" s="155">
        <v>91904</v>
      </c>
      <c r="I13" s="155">
        <v>2211</v>
      </c>
      <c r="J13" s="155">
        <v>233</v>
      </c>
      <c r="K13" s="155">
        <v>3457</v>
      </c>
      <c r="L13" s="155">
        <v>4314</v>
      </c>
      <c r="M13" s="40">
        <v>34445</v>
      </c>
      <c r="N13" s="40">
        <v>34956</v>
      </c>
      <c r="O13" s="40">
        <v>35510</v>
      </c>
      <c r="P13" s="106">
        <v>36418</v>
      </c>
      <c r="Q13" s="106">
        <v>37097</v>
      </c>
      <c r="R13" s="51">
        <v>14.3</v>
      </c>
      <c r="S13" s="51">
        <v>14.8</v>
      </c>
      <c r="T13" s="51">
        <v>15.649241656711679</v>
      </c>
      <c r="U13" s="51">
        <v>16.206489763614915</v>
      </c>
      <c r="V13" s="51">
        <v>17.295109811393207</v>
      </c>
      <c r="W13" s="38">
        <v>34.4</v>
      </c>
      <c r="X13" s="38">
        <v>34.1</v>
      </c>
      <c r="Y13" s="38">
        <v>33.66197396077483</v>
      </c>
      <c r="Z13" s="38">
        <v>33.512028312452401</v>
      </c>
      <c r="AA13" s="38">
        <v>33.529767970815428</v>
      </c>
      <c r="AB13" s="51">
        <v>48.7</v>
      </c>
      <c r="AC13" s="51">
        <v>49</v>
      </c>
      <c r="AD13" s="51">
        <v>49.311215617486504</v>
      </c>
      <c r="AE13" s="51">
        <v>49.718518076067312</v>
      </c>
      <c r="AF13" s="51">
        <v>50.824877782208631</v>
      </c>
      <c r="AG13" s="39">
        <v>4.7</v>
      </c>
      <c r="AH13" s="39">
        <v>3.5560424868157172</v>
      </c>
      <c r="AI13" s="39">
        <v>3.1721835075493616</v>
      </c>
      <c r="AJ13" s="39">
        <v>3.3491008882790494</v>
      </c>
      <c r="AK13" s="39">
        <v>3.0516099323438772</v>
      </c>
      <c r="AL13" s="43">
        <v>1481.6666666666667</v>
      </c>
      <c r="AM13" s="43">
        <v>1476.5</v>
      </c>
      <c r="AN13" s="43">
        <v>1352.25</v>
      </c>
      <c r="AO13" s="43">
        <v>1338.0833333333333</v>
      </c>
      <c r="AP13" s="43">
        <v>1314.75</v>
      </c>
      <c r="AQ13" s="190">
        <v>60929.658349368365</v>
      </c>
      <c r="AR13" s="190">
        <v>63524.441293424985</v>
      </c>
      <c r="AS13" s="190">
        <v>65796.97474901125</v>
      </c>
      <c r="AT13" s="190">
        <v>66407.098302447586</v>
      </c>
      <c r="AU13" s="190">
        <v>69710.400000000009</v>
      </c>
      <c r="AV13" s="162">
        <v>89317.2</v>
      </c>
      <c r="AW13" s="162">
        <v>90229.36</v>
      </c>
      <c r="AX13" s="162">
        <v>92040</v>
      </c>
      <c r="AY13" s="161">
        <v>96672.71</v>
      </c>
      <c r="AZ13" s="161">
        <v>102511</v>
      </c>
      <c r="BA13" s="49">
        <v>4.9000000000000004</v>
      </c>
      <c r="BB13" s="49">
        <v>4.8</v>
      </c>
      <c r="BC13" s="49">
        <v>4.5</v>
      </c>
      <c r="BD13" s="49">
        <v>4.3</v>
      </c>
      <c r="BE13" s="49">
        <v>4</v>
      </c>
      <c r="BF13" s="42">
        <v>5.2</v>
      </c>
      <c r="BG13" s="42">
        <v>5.5</v>
      </c>
      <c r="BH13" s="42">
        <v>4.7</v>
      </c>
      <c r="BI13" s="42">
        <v>3.9</v>
      </c>
      <c r="BJ13" s="42">
        <v>3.9</v>
      </c>
      <c r="BK13" s="36">
        <v>16579</v>
      </c>
      <c r="BL13" s="36">
        <v>16817</v>
      </c>
      <c r="BM13" s="36">
        <v>16811</v>
      </c>
      <c r="BN13" s="36">
        <v>18665</v>
      </c>
      <c r="BO13" s="40">
        <v>17.956450931901802</v>
      </c>
      <c r="BP13" s="40">
        <v>17.523934114289112</v>
      </c>
      <c r="BQ13" s="40">
        <v>17.078103622628042</v>
      </c>
      <c r="BR13" s="40">
        <v>15.440664345030806</v>
      </c>
      <c r="BS13" s="51">
        <v>3.5587188612099645</v>
      </c>
      <c r="BT13" s="51">
        <v>3.5143010049354819</v>
      </c>
      <c r="BU13" s="51">
        <v>3.6345250133840938</v>
      </c>
      <c r="BV13" s="51">
        <v>3.0163407447093489</v>
      </c>
      <c r="BW13" s="39">
        <v>12.865673442306532</v>
      </c>
      <c r="BX13" s="39">
        <v>13.325801272521852</v>
      </c>
      <c r="BY13" s="39">
        <v>11.98619951222414</v>
      </c>
      <c r="BZ13" s="39">
        <v>13.731583177069382</v>
      </c>
      <c r="CA13" s="40">
        <v>93.344289235825812</v>
      </c>
      <c r="CB13" s="40">
        <v>92.730210016155084</v>
      </c>
      <c r="CC13" s="40">
        <v>92.21</v>
      </c>
      <c r="CD13" s="40">
        <v>93.57</v>
      </c>
      <c r="CE13" s="40">
        <v>0.73952341824157763</v>
      </c>
      <c r="CF13" s="40">
        <v>1.76</v>
      </c>
      <c r="CG13" s="40">
        <v>1.02</v>
      </c>
      <c r="CH13" s="40">
        <v>1.48</v>
      </c>
      <c r="CI13" s="105">
        <v>5626</v>
      </c>
      <c r="CJ13" s="105">
        <v>6279</v>
      </c>
      <c r="CK13" s="104">
        <v>5702</v>
      </c>
      <c r="CL13" s="104">
        <v>5890</v>
      </c>
      <c r="CM13" s="39">
        <v>16.042795997570483</v>
      </c>
      <c r="CN13" s="39">
        <v>18.306656170733842</v>
      </c>
      <c r="CO13" s="39">
        <v>12.408141237811101</v>
      </c>
      <c r="CP13" s="39">
        <v>11.922545959491682</v>
      </c>
      <c r="CQ13" s="104">
        <v>190</v>
      </c>
      <c r="CR13" s="104">
        <v>209</v>
      </c>
      <c r="CS13" s="104">
        <v>212</v>
      </c>
      <c r="CT13" s="104">
        <v>212</v>
      </c>
      <c r="CU13" s="39">
        <v>3.5</v>
      </c>
      <c r="CV13" s="39">
        <v>3.5</v>
      </c>
      <c r="CW13" s="39">
        <v>3.9</v>
      </c>
      <c r="CX13" s="39">
        <v>3.8</v>
      </c>
      <c r="CY13" s="36">
        <v>357</v>
      </c>
      <c r="CZ13" s="104">
        <v>396</v>
      </c>
      <c r="DA13" s="104">
        <v>343</v>
      </c>
      <c r="DB13" s="104">
        <v>359</v>
      </c>
      <c r="DC13" s="39">
        <v>7.3</v>
      </c>
      <c r="DD13" s="39">
        <v>7.2</v>
      </c>
      <c r="DE13" s="39">
        <v>6.7</v>
      </c>
      <c r="DF13" s="39">
        <v>6.4</v>
      </c>
      <c r="DG13" s="39">
        <v>92</v>
      </c>
      <c r="DH13" s="39">
        <v>92.6</v>
      </c>
      <c r="DI13" s="39">
        <v>91.6</v>
      </c>
      <c r="DJ13" s="39">
        <v>85.1</v>
      </c>
      <c r="DK13" s="39">
        <v>4.5999999999999996</v>
      </c>
      <c r="DL13" s="39">
        <v>4.3</v>
      </c>
      <c r="DM13" s="39">
        <v>4.5</v>
      </c>
      <c r="DN13" s="39">
        <v>3.8</v>
      </c>
      <c r="DO13" s="39">
        <v>11.9</v>
      </c>
      <c r="DP13" s="39">
        <v>13.3</v>
      </c>
      <c r="DQ13" s="39">
        <v>15.5</v>
      </c>
      <c r="DR13" s="39">
        <v>14.6</v>
      </c>
      <c r="DS13" s="39">
        <v>17.3</v>
      </c>
      <c r="DT13" s="39">
        <v>12.2</v>
      </c>
      <c r="DU13" s="39">
        <v>9.1</v>
      </c>
      <c r="DV13" s="39">
        <v>4.8</v>
      </c>
      <c r="DW13" s="45">
        <v>990</v>
      </c>
      <c r="DX13" s="45">
        <v>41</v>
      </c>
      <c r="DY13" s="15">
        <v>0</v>
      </c>
      <c r="DZ13" s="45">
        <v>67</v>
      </c>
      <c r="EA13" s="45">
        <v>59</v>
      </c>
      <c r="EB13" s="45">
        <v>28</v>
      </c>
      <c r="EC13" s="45">
        <v>13</v>
      </c>
      <c r="ED13" s="45">
        <v>28</v>
      </c>
      <c r="EE13" s="45">
        <v>22</v>
      </c>
      <c r="EF13" s="104">
        <v>1471</v>
      </c>
      <c r="EG13" s="104">
        <v>1732</v>
      </c>
      <c r="EH13" s="104">
        <v>2092</v>
      </c>
      <c r="EI13" s="104">
        <v>2446</v>
      </c>
      <c r="EJ13" s="174">
        <v>500</v>
      </c>
      <c r="EK13" s="174">
        <v>6</v>
      </c>
      <c r="EL13" s="174"/>
      <c r="EM13" s="174">
        <v>7</v>
      </c>
      <c r="EN13" s="174"/>
      <c r="EO13" s="39">
        <v>419.05799999999999</v>
      </c>
      <c r="EP13" s="39">
        <v>408.18299999999999</v>
      </c>
      <c r="EQ13" s="39">
        <v>459.56799999999998</v>
      </c>
      <c r="ER13" s="39">
        <v>495.43799999999999</v>
      </c>
      <c r="ES13" s="39">
        <v>633.58600000000001</v>
      </c>
      <c r="ET13" s="39">
        <v>594.654</v>
      </c>
      <c r="EU13" s="39">
        <v>603.51199999999994</v>
      </c>
      <c r="EV13" s="39">
        <v>561.5</v>
      </c>
      <c r="EW13" s="39">
        <v>789.28800000000001</v>
      </c>
      <c r="EX13" s="39">
        <v>728.548</v>
      </c>
      <c r="EY13" s="39">
        <v>711.61400000000003</v>
      </c>
      <c r="EZ13" s="39">
        <v>654.49</v>
      </c>
      <c r="FA13" s="39">
        <v>525.55399999999997</v>
      </c>
      <c r="FB13" s="39">
        <v>490.35700000000003</v>
      </c>
      <c r="FC13" s="39">
        <v>522.20799999999997</v>
      </c>
      <c r="FD13" s="39">
        <v>492.166</v>
      </c>
      <c r="FE13" s="44">
        <v>353</v>
      </c>
      <c r="FF13" s="44">
        <v>448</v>
      </c>
      <c r="FG13" s="44">
        <v>535</v>
      </c>
      <c r="FH13" s="44">
        <v>600</v>
      </c>
      <c r="FI13" s="39">
        <v>153.316</v>
      </c>
      <c r="FJ13" s="39">
        <v>157.929</v>
      </c>
      <c r="FK13" s="39">
        <v>151.28800000000001</v>
      </c>
      <c r="FL13" s="39">
        <v>133.03700000000001</v>
      </c>
      <c r="FM13" s="45">
        <v>331</v>
      </c>
      <c r="FN13" s="45">
        <v>352</v>
      </c>
      <c r="FO13" s="36">
        <v>397</v>
      </c>
      <c r="FP13" s="45">
        <v>412</v>
      </c>
      <c r="FQ13" s="39">
        <v>147.12299999999999</v>
      </c>
      <c r="FR13" s="39">
        <v>122.01600000000001</v>
      </c>
      <c r="FS13" s="39">
        <v>116.502</v>
      </c>
      <c r="FT13" s="39">
        <v>96.063999999999993</v>
      </c>
      <c r="FU13" s="43">
        <v>103</v>
      </c>
      <c r="FV13" s="43">
        <v>107</v>
      </c>
      <c r="FW13" s="43">
        <v>96</v>
      </c>
      <c r="FX13" s="45">
        <v>99</v>
      </c>
      <c r="FY13" s="39">
        <v>45.920999999999999</v>
      </c>
      <c r="FZ13" s="39">
        <v>37.616</v>
      </c>
      <c r="GA13" s="39">
        <v>29.103000000000002</v>
      </c>
      <c r="GB13" s="39">
        <v>22.86</v>
      </c>
      <c r="GC13" s="150">
        <v>88</v>
      </c>
      <c r="GD13" s="150">
        <v>104</v>
      </c>
      <c r="GE13" s="150">
        <v>142</v>
      </c>
      <c r="GF13" s="150">
        <v>141</v>
      </c>
      <c r="GG13" s="182">
        <v>30.154</v>
      </c>
      <c r="GH13" s="182">
        <v>29.873999999999999</v>
      </c>
      <c r="GI13" s="182">
        <v>38.435000000000002</v>
      </c>
      <c r="GJ13" s="182">
        <v>31.908999999999999</v>
      </c>
      <c r="GK13" s="182"/>
      <c r="GL13" s="114"/>
      <c r="GM13" s="114"/>
      <c r="GN13" s="114"/>
      <c r="GP13" s="114"/>
      <c r="GQ13" s="114"/>
      <c r="GR13" s="114"/>
      <c r="GS13" s="114"/>
      <c r="GU13" s="114"/>
      <c r="GV13" s="114"/>
      <c r="GW13" s="114"/>
      <c r="GX13" s="114"/>
      <c r="HE13" s="113"/>
      <c r="HF13" s="113"/>
      <c r="HG13" s="113"/>
      <c r="HH13" s="113"/>
      <c r="HI13" s="113"/>
      <c r="HJ13" s="115"/>
      <c r="HK13" s="115"/>
      <c r="HL13" s="114"/>
      <c r="HV13" s="116"/>
    </row>
    <row r="14" spans="1:253" x14ac:dyDescent="0.2">
      <c r="A14" s="128">
        <v>11</v>
      </c>
      <c r="B14" s="129" t="s">
        <v>57</v>
      </c>
      <c r="C14" s="117">
        <v>28555</v>
      </c>
      <c r="D14" s="117">
        <v>28559</v>
      </c>
      <c r="E14" s="117">
        <v>28706</v>
      </c>
      <c r="F14" s="117">
        <v>28993</v>
      </c>
      <c r="G14" s="151">
        <v>29355</v>
      </c>
      <c r="H14" s="155">
        <v>24665</v>
      </c>
      <c r="I14" s="155">
        <v>212</v>
      </c>
      <c r="J14" s="155">
        <v>3712</v>
      </c>
      <c r="K14" s="155">
        <v>149</v>
      </c>
      <c r="L14" s="155">
        <v>617</v>
      </c>
      <c r="M14" s="40">
        <v>12003</v>
      </c>
      <c r="N14" s="40">
        <v>12004</v>
      </c>
      <c r="O14" s="40">
        <v>12067</v>
      </c>
      <c r="P14" s="106">
        <v>12206</v>
      </c>
      <c r="Q14" s="106">
        <v>12415</v>
      </c>
      <c r="R14" s="51">
        <v>39.700000000000003</v>
      </c>
      <c r="S14" s="51">
        <v>40.5</v>
      </c>
      <c r="T14" s="51">
        <v>41.354916067146284</v>
      </c>
      <c r="U14" s="51">
        <v>42.507040565642043</v>
      </c>
      <c r="V14" s="51">
        <v>44.136486082011373</v>
      </c>
      <c r="W14" s="38">
        <v>30.1</v>
      </c>
      <c r="X14" s="38">
        <v>30</v>
      </c>
      <c r="Y14" s="38">
        <v>30.743405275779377</v>
      </c>
      <c r="Z14" s="38">
        <v>31.218167655341844</v>
      </c>
      <c r="AA14" s="38">
        <v>31.589344507632443</v>
      </c>
      <c r="AB14" s="51">
        <v>69.8</v>
      </c>
      <c r="AC14" s="51">
        <v>70.599999999999994</v>
      </c>
      <c r="AD14" s="51">
        <v>72.098321342925658</v>
      </c>
      <c r="AE14" s="51">
        <v>73.725208220983887</v>
      </c>
      <c r="AF14" s="51">
        <v>75.72583058964382</v>
      </c>
      <c r="AG14" s="39">
        <v>8.1</v>
      </c>
      <c r="AH14" s="39">
        <v>6.9570176063867706</v>
      </c>
      <c r="AI14" s="39">
        <v>6.6789956611423289</v>
      </c>
      <c r="AJ14" s="39">
        <v>6.7480809490579201</v>
      </c>
      <c r="AK14" s="39">
        <v>5.9890109890109891</v>
      </c>
      <c r="AL14" s="43">
        <v>2057.1666666666665</v>
      </c>
      <c r="AM14" s="43">
        <v>2068.8333333333335</v>
      </c>
      <c r="AN14" s="43">
        <v>2069.4166666666665</v>
      </c>
      <c r="AO14" s="43">
        <v>2010.4166666666667</v>
      </c>
      <c r="AP14" s="43">
        <v>2003.3333333333333</v>
      </c>
      <c r="AQ14" s="190">
        <v>39793.840490797556</v>
      </c>
      <c r="AR14" s="190">
        <v>41551.048539609161</v>
      </c>
      <c r="AS14" s="190">
        <v>43502.930096274591</v>
      </c>
      <c r="AT14" s="190">
        <v>44266.624012692715</v>
      </c>
      <c r="AU14" s="190">
        <v>46299.53</v>
      </c>
      <c r="AV14" s="162">
        <v>45665.55</v>
      </c>
      <c r="AW14" s="162">
        <v>50301.68</v>
      </c>
      <c r="AX14" s="162">
        <v>46986.16</v>
      </c>
      <c r="AY14" s="161">
        <v>49074.35</v>
      </c>
      <c r="AZ14" s="161">
        <v>51884</v>
      </c>
      <c r="BA14" s="49">
        <v>15.3</v>
      </c>
      <c r="BB14" s="49">
        <v>15.7</v>
      </c>
      <c r="BC14" s="49">
        <v>15</v>
      </c>
      <c r="BD14" s="49">
        <v>15.5</v>
      </c>
      <c r="BE14" s="49">
        <v>15.1</v>
      </c>
      <c r="BF14" s="42">
        <v>26.6</v>
      </c>
      <c r="BG14" s="42">
        <v>25.9</v>
      </c>
      <c r="BH14" s="42">
        <v>26</v>
      </c>
      <c r="BI14" s="42">
        <v>25.5</v>
      </c>
      <c r="BJ14" s="42">
        <v>23.5</v>
      </c>
      <c r="BK14" s="36">
        <v>4223</v>
      </c>
      <c r="BL14" s="36">
        <v>4300</v>
      </c>
      <c r="BM14" s="36">
        <v>4231</v>
      </c>
      <c r="BN14" s="36">
        <v>4460</v>
      </c>
      <c r="BO14" s="40">
        <v>64.030310206014676</v>
      </c>
      <c r="BP14" s="40">
        <v>61.930232558139537</v>
      </c>
      <c r="BQ14" s="40">
        <v>60.482155518789881</v>
      </c>
      <c r="BR14" s="40">
        <v>59.304932735426007</v>
      </c>
      <c r="BS14" s="51">
        <v>7.1039545346909774E-2</v>
      </c>
      <c r="BT14" s="51">
        <v>0.16279069767441862</v>
      </c>
      <c r="BU14" s="51">
        <v>0.1418104467029071</v>
      </c>
      <c r="BV14" s="51">
        <v>0.11210762331838565</v>
      </c>
      <c r="BW14" s="39">
        <v>21.004025574236326</v>
      </c>
      <c r="BX14" s="39">
        <v>21.069767441860463</v>
      </c>
      <c r="BY14" s="39">
        <v>19.333490900496336</v>
      </c>
      <c r="BZ14" s="39">
        <v>20.986547085201792</v>
      </c>
      <c r="CA14" s="40">
        <v>70.846394984326025</v>
      </c>
      <c r="CB14" s="40">
        <v>70.219435736677113</v>
      </c>
      <c r="CC14" s="40">
        <v>71.83</v>
      </c>
      <c r="CD14" s="40">
        <v>67.75</v>
      </c>
      <c r="CE14" s="40">
        <v>8.4639498432601883</v>
      </c>
      <c r="CF14" s="40">
        <v>11.635220125786164</v>
      </c>
      <c r="CG14" s="40">
        <v>13</v>
      </c>
      <c r="CH14" s="40">
        <v>13.61</v>
      </c>
      <c r="CI14" s="105">
        <v>1536</v>
      </c>
      <c r="CJ14" s="105">
        <v>1798</v>
      </c>
      <c r="CK14" s="104">
        <v>1706</v>
      </c>
      <c r="CL14" s="104">
        <v>1645</v>
      </c>
      <c r="CM14" s="39">
        <v>11.284990081551685</v>
      </c>
      <c r="CN14" s="39">
        <v>15.617264112430403</v>
      </c>
      <c r="CO14" s="39">
        <v>11.965212512273812</v>
      </c>
      <c r="CP14" s="39">
        <v>11.410299095499695</v>
      </c>
      <c r="CQ14" s="104">
        <v>67</v>
      </c>
      <c r="CR14" s="104">
        <v>88</v>
      </c>
      <c r="CS14" s="104">
        <v>99</v>
      </c>
      <c r="CT14" s="104">
        <v>90</v>
      </c>
      <c r="CU14" s="39">
        <v>4.5</v>
      </c>
      <c r="CV14" s="39">
        <v>5.0999999999999996</v>
      </c>
      <c r="CW14" s="39">
        <v>6</v>
      </c>
      <c r="CX14" s="39">
        <v>5.7</v>
      </c>
      <c r="CY14" s="36">
        <v>101</v>
      </c>
      <c r="CZ14" s="104">
        <v>143</v>
      </c>
      <c r="DA14" s="104">
        <v>160</v>
      </c>
      <c r="DB14" s="104">
        <v>140</v>
      </c>
      <c r="DC14" s="39">
        <v>7.9</v>
      </c>
      <c r="DD14" s="39">
        <v>9.4</v>
      </c>
      <c r="DE14" s="39">
        <v>10.5</v>
      </c>
      <c r="DF14" s="39">
        <v>8.9</v>
      </c>
      <c r="DG14" s="39">
        <v>76.5</v>
      </c>
      <c r="DH14" s="39">
        <v>74.2</v>
      </c>
      <c r="DI14" s="39">
        <v>73.7</v>
      </c>
      <c r="DJ14" s="39">
        <v>75.099999999999994</v>
      </c>
      <c r="DK14" s="39">
        <v>30.8</v>
      </c>
      <c r="DL14" s="39">
        <v>32.4</v>
      </c>
      <c r="DM14" s="39">
        <v>33.299999999999997</v>
      </c>
      <c r="DN14" s="39">
        <v>32.9</v>
      </c>
      <c r="DO14" s="39">
        <v>47.2</v>
      </c>
      <c r="DP14" s="39">
        <v>51.6</v>
      </c>
      <c r="DQ14" s="39">
        <v>55.6</v>
      </c>
      <c r="DR14" s="39">
        <v>57.6</v>
      </c>
      <c r="DS14" s="39">
        <v>47.3</v>
      </c>
      <c r="DT14" s="39">
        <v>54.4</v>
      </c>
      <c r="DU14" s="39">
        <v>49.5</v>
      </c>
      <c r="DV14" s="39">
        <v>35</v>
      </c>
      <c r="DW14" s="45">
        <v>179</v>
      </c>
      <c r="DX14" s="45">
        <v>2</v>
      </c>
      <c r="DY14" s="15">
        <v>95</v>
      </c>
      <c r="DZ14" s="45">
        <v>0</v>
      </c>
      <c r="EA14" s="45">
        <v>4</v>
      </c>
      <c r="EB14" s="45">
        <v>12</v>
      </c>
      <c r="EC14" s="45">
        <v>12</v>
      </c>
      <c r="ED14" s="45">
        <v>13</v>
      </c>
      <c r="EE14" s="45">
        <v>13</v>
      </c>
      <c r="EF14" s="104">
        <v>1471</v>
      </c>
      <c r="EG14" s="104">
        <v>1466</v>
      </c>
      <c r="EH14" s="104">
        <v>1447</v>
      </c>
      <c r="EI14" s="104">
        <v>1628</v>
      </c>
      <c r="EJ14" s="174">
        <v>250</v>
      </c>
      <c r="EK14" s="174"/>
      <c r="EL14" s="174">
        <v>48</v>
      </c>
      <c r="EM14" s="174"/>
      <c r="EN14" s="174">
        <v>1</v>
      </c>
      <c r="EO14" s="39">
        <v>1083.6099999999999</v>
      </c>
      <c r="EP14" s="39">
        <v>1014.182</v>
      </c>
      <c r="EQ14" s="39">
        <v>1013.057</v>
      </c>
      <c r="ER14" s="39">
        <v>1134.258</v>
      </c>
      <c r="ES14" s="39">
        <v>863.98900000000003</v>
      </c>
      <c r="ET14" s="39">
        <v>762.38699999999994</v>
      </c>
      <c r="EU14" s="39">
        <v>735.73599999999999</v>
      </c>
      <c r="EV14" s="39">
        <v>754.44</v>
      </c>
      <c r="EW14" s="39">
        <v>1089.4269999999999</v>
      </c>
      <c r="EX14" s="39">
        <v>948.63699999999994</v>
      </c>
      <c r="EY14" s="39">
        <v>840.654</v>
      </c>
      <c r="EZ14" s="39">
        <v>863.82299999999998</v>
      </c>
      <c r="FA14" s="39">
        <v>665.81</v>
      </c>
      <c r="FB14" s="39">
        <v>590.39599999999996</v>
      </c>
      <c r="FC14" s="39">
        <v>632.01499999999999</v>
      </c>
      <c r="FD14" s="39">
        <v>655.51499999999999</v>
      </c>
      <c r="FE14" s="44">
        <v>345</v>
      </c>
      <c r="FF14" s="44">
        <v>396</v>
      </c>
      <c r="FG14" s="44">
        <v>379</v>
      </c>
      <c r="FH14" s="44">
        <v>400</v>
      </c>
      <c r="FI14" s="39">
        <v>189.12299999999999</v>
      </c>
      <c r="FJ14" s="39">
        <v>199.56399999999999</v>
      </c>
      <c r="FK14" s="39">
        <v>172.304</v>
      </c>
      <c r="FL14" s="39">
        <v>167.899</v>
      </c>
      <c r="FM14" s="45">
        <v>356</v>
      </c>
      <c r="FN14" s="45">
        <v>295</v>
      </c>
      <c r="FO14" s="36">
        <v>278</v>
      </c>
      <c r="FP14" s="45">
        <v>279</v>
      </c>
      <c r="FQ14" s="39">
        <v>203.16399999999999</v>
      </c>
      <c r="FR14" s="39">
        <v>149.23699999999999</v>
      </c>
      <c r="FS14" s="39">
        <v>139.95599999999999</v>
      </c>
      <c r="FT14" s="39">
        <v>125.154</v>
      </c>
      <c r="FU14" s="43">
        <v>89</v>
      </c>
      <c r="FV14" s="43">
        <v>87</v>
      </c>
      <c r="FW14" s="43">
        <v>83</v>
      </c>
      <c r="FX14" s="45">
        <v>76</v>
      </c>
      <c r="FY14" s="39">
        <v>51.933</v>
      </c>
      <c r="FZ14" s="39">
        <v>43.078000000000003</v>
      </c>
      <c r="GA14" s="39">
        <v>41.404000000000003</v>
      </c>
      <c r="GB14" s="39">
        <v>33.604999999999997</v>
      </c>
      <c r="GC14" s="150">
        <v>67</v>
      </c>
      <c r="GD14" s="150">
        <v>96</v>
      </c>
      <c r="GE14" s="150">
        <v>104</v>
      </c>
      <c r="GF14" s="150">
        <v>104</v>
      </c>
      <c r="GG14" s="182">
        <v>52.194000000000003</v>
      </c>
      <c r="GH14" s="182">
        <v>62.216999999999999</v>
      </c>
      <c r="GI14" s="182">
        <v>65.116</v>
      </c>
      <c r="GJ14" s="182">
        <v>68.78</v>
      </c>
      <c r="GK14" s="182"/>
      <c r="GL14" s="114"/>
      <c r="GM14" s="114"/>
      <c r="GN14" s="114"/>
      <c r="GP14" s="114"/>
      <c r="GQ14" s="114"/>
      <c r="GR14" s="114"/>
      <c r="GS14" s="114"/>
      <c r="GU14" s="114"/>
      <c r="GV14" s="114"/>
      <c r="GW14" s="114"/>
      <c r="GX14" s="114"/>
      <c r="HE14" s="113"/>
      <c r="HF14" s="113"/>
      <c r="HG14" s="113"/>
      <c r="HH14" s="113"/>
      <c r="HI14" s="113"/>
      <c r="HJ14" s="115"/>
      <c r="HK14" s="115"/>
      <c r="HL14" s="114"/>
      <c r="HV14" s="116"/>
    </row>
    <row r="15" spans="1:253" ht="21" customHeight="1" x14ac:dyDescent="0.2">
      <c r="A15" s="128">
        <v>12</v>
      </c>
      <c r="B15" s="129" t="s">
        <v>58</v>
      </c>
      <c r="C15" s="117">
        <v>12093</v>
      </c>
      <c r="D15" s="117">
        <v>12110</v>
      </c>
      <c r="E15" s="117">
        <v>12109</v>
      </c>
      <c r="F15" s="117">
        <v>12133</v>
      </c>
      <c r="G15" s="151">
        <v>11980</v>
      </c>
      <c r="H15" s="155">
        <v>10582</v>
      </c>
      <c r="I15" s="155">
        <v>135</v>
      </c>
      <c r="J15" s="155">
        <v>148</v>
      </c>
      <c r="K15" s="155">
        <v>254</v>
      </c>
      <c r="L15" s="155">
        <v>861</v>
      </c>
      <c r="M15" s="40">
        <v>5172</v>
      </c>
      <c r="N15" s="40">
        <v>5172</v>
      </c>
      <c r="O15" s="40">
        <v>5167</v>
      </c>
      <c r="P15" s="106">
        <v>5167</v>
      </c>
      <c r="Q15" s="106">
        <v>5156</v>
      </c>
      <c r="R15" s="51">
        <v>32.5</v>
      </c>
      <c r="S15" s="51">
        <v>33.1</v>
      </c>
      <c r="T15" s="51">
        <v>33.12525444429366</v>
      </c>
      <c r="U15" s="51">
        <v>34.551951621770208</v>
      </c>
      <c r="V15" s="51">
        <v>35.731516957570598</v>
      </c>
      <c r="W15" s="38">
        <v>30.6</v>
      </c>
      <c r="X15" s="38">
        <v>30.8</v>
      </c>
      <c r="Y15" s="38">
        <v>31.198262993621928</v>
      </c>
      <c r="Z15" s="38">
        <v>32.201759208356236</v>
      </c>
      <c r="AA15" s="38">
        <v>34.26990208599404</v>
      </c>
      <c r="AB15" s="51">
        <v>63.1</v>
      </c>
      <c r="AC15" s="51">
        <v>63.9</v>
      </c>
      <c r="AD15" s="51">
        <v>64.323517437915584</v>
      </c>
      <c r="AE15" s="51">
        <v>66.753710830126451</v>
      </c>
      <c r="AF15" s="51">
        <v>70.001419043564638</v>
      </c>
      <c r="AG15" s="39">
        <v>5</v>
      </c>
      <c r="AH15" s="39">
        <v>4.4213263979193762</v>
      </c>
      <c r="AI15" s="39">
        <v>4.402696113580955</v>
      </c>
      <c r="AJ15" s="39">
        <v>4.538925596093077</v>
      </c>
      <c r="AK15" s="39">
        <v>4.1011717633609601</v>
      </c>
      <c r="AL15" s="43">
        <v>467</v>
      </c>
      <c r="AM15" s="43">
        <v>466.75</v>
      </c>
      <c r="AN15" s="43">
        <v>441.58333333333331</v>
      </c>
      <c r="AO15" s="43">
        <v>436.33333333333331</v>
      </c>
      <c r="AP15" s="43">
        <v>435.33333333333331</v>
      </c>
      <c r="AQ15" s="190">
        <v>51287.140733399414</v>
      </c>
      <c r="AR15" s="190">
        <v>46567.055128523018</v>
      </c>
      <c r="AS15" s="190">
        <v>47511.646612823475</v>
      </c>
      <c r="AT15" s="190">
        <v>48024.588312865737</v>
      </c>
      <c r="AU15" s="190">
        <v>46067.78</v>
      </c>
      <c r="AV15" s="162">
        <v>52022.25</v>
      </c>
      <c r="AW15" s="162">
        <v>57441.279999999999</v>
      </c>
      <c r="AX15" s="162">
        <v>53324.959999999999</v>
      </c>
      <c r="AY15" s="161">
        <v>52422.880000000005</v>
      </c>
      <c r="AZ15" s="161">
        <v>60039</v>
      </c>
      <c r="BA15" s="49">
        <v>11.1</v>
      </c>
      <c r="BB15" s="49">
        <v>11.5</v>
      </c>
      <c r="BC15" s="49">
        <v>11.1</v>
      </c>
      <c r="BD15" s="49">
        <v>8.9</v>
      </c>
      <c r="BE15" s="49">
        <v>10.5</v>
      </c>
      <c r="BF15" s="42">
        <v>16.2</v>
      </c>
      <c r="BG15" s="42">
        <v>17.5</v>
      </c>
      <c r="BH15" s="42">
        <v>15.3</v>
      </c>
      <c r="BI15" s="42">
        <v>14.2</v>
      </c>
      <c r="BJ15" s="42">
        <v>14</v>
      </c>
      <c r="BK15" s="36">
        <v>2120</v>
      </c>
      <c r="BL15" s="36">
        <v>2102</v>
      </c>
      <c r="BM15" s="36">
        <v>2172</v>
      </c>
      <c r="BN15" s="36">
        <v>2075</v>
      </c>
      <c r="BO15" s="40">
        <v>44.29245283018868</v>
      </c>
      <c r="BP15" s="40">
        <v>43.720266412940056</v>
      </c>
      <c r="BQ15" s="40">
        <v>44.751381215469614</v>
      </c>
      <c r="BR15" s="40">
        <v>41.060240963855421</v>
      </c>
      <c r="BS15" s="51">
        <v>5.6132075471698117</v>
      </c>
      <c r="BT15" s="51">
        <v>4.8525214081826835</v>
      </c>
      <c r="BU15" s="51">
        <v>5.5248618784530388</v>
      </c>
      <c r="BV15" s="51">
        <v>6.7469879518072293</v>
      </c>
      <c r="BW15" s="39">
        <v>17.830188679245282</v>
      </c>
      <c r="BX15" s="39">
        <v>18.030447193149381</v>
      </c>
      <c r="BY15" s="39">
        <v>18.047882136279927</v>
      </c>
      <c r="BZ15" s="39">
        <v>19.710843373493976</v>
      </c>
      <c r="CA15" s="40">
        <v>75.336322869955154</v>
      </c>
      <c r="CB15" s="40">
        <v>83.018867924528308</v>
      </c>
      <c r="CC15" s="40">
        <v>66.12</v>
      </c>
      <c r="CD15" s="40">
        <v>76.489999999999995</v>
      </c>
      <c r="CE15" s="40">
        <v>1.7937219730941705</v>
      </c>
      <c r="CF15" s="40">
        <v>1.8779342723004695</v>
      </c>
      <c r="CG15" s="40">
        <v>1.22</v>
      </c>
      <c r="CH15" s="40">
        <v>1.59</v>
      </c>
      <c r="CI15" s="105">
        <v>658</v>
      </c>
      <c r="CJ15" s="105">
        <v>794</v>
      </c>
      <c r="CK15" s="104">
        <v>790</v>
      </c>
      <c r="CL15" s="104">
        <v>825</v>
      </c>
      <c r="CM15" s="39">
        <v>10.112031473313765</v>
      </c>
      <c r="CN15" s="39">
        <v>15.677137836397021</v>
      </c>
      <c r="CO15" s="39">
        <v>12.818432581534967</v>
      </c>
      <c r="CP15" s="39">
        <v>13.65328920148945</v>
      </c>
      <c r="CQ15" s="104">
        <v>16</v>
      </c>
      <c r="CR15" s="104">
        <v>35</v>
      </c>
      <c r="CS15" s="104">
        <v>31</v>
      </c>
      <c r="CT15" s="104">
        <v>26</v>
      </c>
      <c r="CU15" s="39">
        <v>2.5</v>
      </c>
      <c r="CV15" s="39">
        <v>4.5999999999999996</v>
      </c>
      <c r="CW15" s="39">
        <v>4.0999999999999996</v>
      </c>
      <c r="CX15" s="39">
        <v>3.3</v>
      </c>
      <c r="CY15" s="36">
        <v>37</v>
      </c>
      <c r="CZ15" s="104">
        <v>50</v>
      </c>
      <c r="DA15" s="104">
        <v>51</v>
      </c>
      <c r="DB15" s="104">
        <v>46</v>
      </c>
      <c r="DC15" s="39">
        <v>5.9</v>
      </c>
      <c r="DD15" s="39">
        <v>7.7</v>
      </c>
      <c r="DE15" s="39">
        <v>7.7</v>
      </c>
      <c r="DF15" s="39">
        <v>5.8</v>
      </c>
      <c r="DG15" s="39">
        <v>81.900000000000006</v>
      </c>
      <c r="DH15" s="39">
        <v>86.1</v>
      </c>
      <c r="DI15" s="39">
        <v>86.6</v>
      </c>
      <c r="DJ15" s="39">
        <v>85.1</v>
      </c>
      <c r="DK15" s="39">
        <v>16.7</v>
      </c>
      <c r="DL15" s="39">
        <v>17.399999999999999</v>
      </c>
      <c r="DM15" s="39">
        <v>18.100000000000001</v>
      </c>
      <c r="DN15" s="39">
        <v>16.600000000000001</v>
      </c>
      <c r="DO15" s="39">
        <v>31.6</v>
      </c>
      <c r="DP15" s="39">
        <v>37.9</v>
      </c>
      <c r="DQ15" s="39">
        <v>40.799999999999997</v>
      </c>
      <c r="DR15" s="39">
        <v>40.5</v>
      </c>
      <c r="DS15" s="39">
        <v>30.1</v>
      </c>
      <c r="DT15" s="39">
        <v>37</v>
      </c>
      <c r="DU15" s="39">
        <v>41.8</v>
      </c>
      <c r="DV15" s="39">
        <v>24.6</v>
      </c>
      <c r="DW15" s="45">
        <v>115</v>
      </c>
      <c r="DX15" s="45">
        <v>4</v>
      </c>
      <c r="DY15" s="15">
        <v>4</v>
      </c>
      <c r="DZ15" s="45">
        <v>11</v>
      </c>
      <c r="EA15" s="45">
        <v>29</v>
      </c>
      <c r="EB15" s="45">
        <v>6</v>
      </c>
      <c r="EC15" s="45"/>
      <c r="ED15" s="45">
        <v>4</v>
      </c>
      <c r="EE15" s="45">
        <v>2</v>
      </c>
      <c r="EF15" s="104">
        <v>798</v>
      </c>
      <c r="EG15" s="104">
        <v>733</v>
      </c>
      <c r="EH15" s="104">
        <v>705</v>
      </c>
      <c r="EI15" s="104">
        <v>778</v>
      </c>
      <c r="EJ15" s="174">
        <v>160</v>
      </c>
      <c r="EK15" s="174"/>
      <c r="EL15" s="174">
        <v>3</v>
      </c>
      <c r="EM15" s="174"/>
      <c r="EN15" s="174">
        <v>1</v>
      </c>
      <c r="EO15" s="39">
        <v>1219.4380000000001</v>
      </c>
      <c r="EP15" s="39">
        <v>1145.134</v>
      </c>
      <c r="EQ15" s="39">
        <v>1133.3489999999999</v>
      </c>
      <c r="ER15" s="39">
        <v>1284.9949999999999</v>
      </c>
      <c r="ES15" s="39">
        <v>728.89400000000001</v>
      </c>
      <c r="ET15" s="39">
        <v>630.98199999999997</v>
      </c>
      <c r="EU15" s="39">
        <v>664.93299999999999</v>
      </c>
      <c r="EV15" s="39">
        <v>741.346</v>
      </c>
      <c r="EW15" s="39">
        <v>951.39400000000001</v>
      </c>
      <c r="EX15" s="39">
        <v>792.09400000000005</v>
      </c>
      <c r="EY15" s="39">
        <v>758.88300000000004</v>
      </c>
      <c r="EZ15" s="39">
        <v>861.702</v>
      </c>
      <c r="FA15" s="39">
        <v>563.56399999999996</v>
      </c>
      <c r="FB15" s="39">
        <v>523.53200000000004</v>
      </c>
      <c r="FC15" s="39">
        <v>596.18200000000002</v>
      </c>
      <c r="FD15" s="39">
        <v>641.32299999999998</v>
      </c>
      <c r="FE15" s="44">
        <v>179</v>
      </c>
      <c r="FF15" s="44">
        <v>161</v>
      </c>
      <c r="FG15" s="44">
        <v>152</v>
      </c>
      <c r="FH15" s="44">
        <v>184</v>
      </c>
      <c r="FI15" s="39">
        <v>176.83099999999999</v>
      </c>
      <c r="FJ15" s="39">
        <v>159.66999999999999</v>
      </c>
      <c r="FK15" s="39">
        <v>153.32300000000001</v>
      </c>
      <c r="FL15" s="39">
        <v>186.482</v>
      </c>
      <c r="FM15" s="45">
        <v>176</v>
      </c>
      <c r="FN15" s="45">
        <v>171</v>
      </c>
      <c r="FO15" s="36">
        <v>144</v>
      </c>
      <c r="FP15" s="45">
        <v>167</v>
      </c>
      <c r="FQ15" s="39">
        <v>151.547</v>
      </c>
      <c r="FR15" s="39">
        <v>141.09200000000001</v>
      </c>
      <c r="FS15" s="39">
        <v>125.295</v>
      </c>
      <c r="FT15" s="39">
        <v>147.50399999999999</v>
      </c>
      <c r="FU15" s="43">
        <v>74</v>
      </c>
      <c r="FV15" s="43">
        <v>48</v>
      </c>
      <c r="FW15" s="43">
        <v>51</v>
      </c>
      <c r="FX15" s="45">
        <v>47</v>
      </c>
      <c r="FY15" s="39">
        <v>58.246000000000002</v>
      </c>
      <c r="FZ15" s="39">
        <v>34.468000000000004</v>
      </c>
      <c r="GA15" s="39">
        <v>43.158000000000001</v>
      </c>
      <c r="GB15" s="39">
        <v>39.676000000000002</v>
      </c>
      <c r="GC15" s="150">
        <v>41</v>
      </c>
      <c r="GD15" s="150">
        <v>36</v>
      </c>
      <c r="GE15" s="150">
        <v>33</v>
      </c>
      <c r="GF15" s="150">
        <v>46</v>
      </c>
      <c r="GG15" s="182">
        <v>50.012</v>
      </c>
      <c r="GH15" s="182">
        <v>40.735999999999997</v>
      </c>
      <c r="GI15" s="182">
        <v>41.536999999999999</v>
      </c>
      <c r="GJ15" s="182">
        <v>52.817</v>
      </c>
      <c r="GK15" s="182"/>
      <c r="GL15" s="114"/>
      <c r="GM15" s="114"/>
      <c r="GN15" s="114"/>
      <c r="GP15" s="114"/>
      <c r="GQ15" s="114"/>
      <c r="GR15" s="114"/>
      <c r="GS15" s="114"/>
      <c r="GU15" s="114"/>
      <c r="GV15" s="114"/>
      <c r="GW15" s="114"/>
      <c r="GX15" s="114"/>
      <c r="HE15" s="113"/>
      <c r="HF15" s="113"/>
      <c r="HG15" s="113"/>
      <c r="HH15" s="113"/>
      <c r="HI15" s="113"/>
      <c r="HJ15" s="115"/>
      <c r="HK15" s="115"/>
      <c r="HL15" s="114"/>
      <c r="HV15" s="116"/>
    </row>
    <row r="16" spans="1:253" x14ac:dyDescent="0.2">
      <c r="A16" s="128">
        <v>13</v>
      </c>
      <c r="B16" s="129" t="s">
        <v>59</v>
      </c>
      <c r="C16" s="117">
        <v>53761</v>
      </c>
      <c r="D16" s="117">
        <v>54025</v>
      </c>
      <c r="E16" s="117">
        <v>54293</v>
      </c>
      <c r="F16" s="117">
        <v>54748</v>
      </c>
      <c r="G16" s="151">
        <v>55308</v>
      </c>
      <c r="H16" s="155">
        <v>52098</v>
      </c>
      <c r="I16" s="155">
        <v>926</v>
      </c>
      <c r="J16" s="155">
        <v>379</v>
      </c>
      <c r="K16" s="155">
        <v>740</v>
      </c>
      <c r="L16" s="155">
        <v>1165</v>
      </c>
      <c r="M16" s="40">
        <v>19570</v>
      </c>
      <c r="N16" s="40">
        <v>19719</v>
      </c>
      <c r="O16" s="40">
        <v>19871</v>
      </c>
      <c r="P16" s="106">
        <v>20041</v>
      </c>
      <c r="Q16" s="106">
        <v>20240</v>
      </c>
      <c r="R16" s="51">
        <v>19.899999999999999</v>
      </c>
      <c r="S16" s="51">
        <v>20.8</v>
      </c>
      <c r="T16" s="51">
        <v>21.445253468883088</v>
      </c>
      <c r="U16" s="51">
        <v>22.329270970575319</v>
      </c>
      <c r="V16" s="51">
        <v>22.625484734283685</v>
      </c>
      <c r="W16" s="38">
        <v>28.7</v>
      </c>
      <c r="X16" s="38">
        <v>28.4</v>
      </c>
      <c r="Y16" s="38">
        <v>27.731831295507625</v>
      </c>
      <c r="Z16" s="38">
        <v>27.945212999560827</v>
      </c>
      <c r="AA16" s="38">
        <v>28.414987164782346</v>
      </c>
      <c r="AB16" s="51">
        <v>48.6</v>
      </c>
      <c r="AC16" s="51">
        <v>49.2</v>
      </c>
      <c r="AD16" s="51">
        <v>49.177084764390713</v>
      </c>
      <c r="AE16" s="51">
        <v>50.274483970136139</v>
      </c>
      <c r="AF16" s="51">
        <v>51.040471899066034</v>
      </c>
      <c r="AG16" s="39">
        <v>6</v>
      </c>
      <c r="AH16" s="39">
        <v>4.6111014442317728</v>
      </c>
      <c r="AI16" s="39">
        <v>4.1673859752097506</v>
      </c>
      <c r="AJ16" s="39">
        <v>4.3627417007415614</v>
      </c>
      <c r="AK16" s="39">
        <v>4.0975808643653169</v>
      </c>
      <c r="AL16" s="43">
        <v>1635.1666666666667</v>
      </c>
      <c r="AM16" s="43">
        <v>1434.5833333333333</v>
      </c>
      <c r="AN16" s="43">
        <v>1311.25</v>
      </c>
      <c r="AO16" s="43">
        <v>1231.3333333333333</v>
      </c>
      <c r="AP16" s="43">
        <v>1181.4166666666667</v>
      </c>
      <c r="AQ16" s="190">
        <v>40925.827703645802</v>
      </c>
      <c r="AR16" s="190">
        <v>42387.521697203476</v>
      </c>
      <c r="AS16" s="190">
        <v>44529.935921042932</v>
      </c>
      <c r="AT16" s="190">
        <v>45252.139804193757</v>
      </c>
      <c r="AU16" s="190">
        <v>47813.630000000005</v>
      </c>
      <c r="AV16" s="162">
        <v>68897.850000000006</v>
      </c>
      <c r="AW16" s="162">
        <v>74252.88</v>
      </c>
      <c r="AX16" s="162">
        <v>78126.880000000005</v>
      </c>
      <c r="AY16" s="161">
        <v>72137.08</v>
      </c>
      <c r="AZ16" s="161">
        <v>82118</v>
      </c>
      <c r="BA16" s="49">
        <v>6.8</v>
      </c>
      <c r="BB16" s="49">
        <v>6.2</v>
      </c>
      <c r="BC16" s="49">
        <v>6.3</v>
      </c>
      <c r="BD16" s="49">
        <v>6.7</v>
      </c>
      <c r="BE16" s="49">
        <v>6.1</v>
      </c>
      <c r="BF16" s="42">
        <v>8.1999999999999993</v>
      </c>
      <c r="BG16" s="42">
        <v>7.3</v>
      </c>
      <c r="BH16" s="42">
        <v>7.9</v>
      </c>
      <c r="BI16" s="42">
        <v>7.8</v>
      </c>
      <c r="BJ16" s="42">
        <v>6.9</v>
      </c>
      <c r="BK16" s="36">
        <v>7461</v>
      </c>
      <c r="BL16" s="36">
        <v>7501</v>
      </c>
      <c r="BM16" s="36">
        <v>7390</v>
      </c>
      <c r="BN16" s="36">
        <v>7406</v>
      </c>
      <c r="BO16" s="40">
        <v>26.765849081892508</v>
      </c>
      <c r="BP16" s="40">
        <v>26.22317024396747</v>
      </c>
      <c r="BQ16" s="40">
        <v>25.317997293640055</v>
      </c>
      <c r="BR16" s="40">
        <v>25.047258979206049</v>
      </c>
      <c r="BS16" s="51">
        <v>0.92480900683554479</v>
      </c>
      <c r="BT16" s="51">
        <v>0.8932142381015864</v>
      </c>
      <c r="BU16" s="51">
        <v>0.74424898511502025</v>
      </c>
      <c r="BV16" s="51">
        <v>0.9181744531460978</v>
      </c>
      <c r="BW16" s="39">
        <v>12.558638252245007</v>
      </c>
      <c r="BX16" s="39">
        <v>13.318224236768431</v>
      </c>
      <c r="BY16" s="39">
        <v>12.070365358592692</v>
      </c>
      <c r="BZ16" s="39">
        <v>14.231704023764516</v>
      </c>
      <c r="CA16" s="40">
        <v>80.555555555555557</v>
      </c>
      <c r="CB16" s="40">
        <v>80.564263322884017</v>
      </c>
      <c r="CC16" s="40">
        <v>83.36</v>
      </c>
      <c r="CD16" s="40">
        <v>83.69</v>
      </c>
      <c r="CE16" s="40">
        <v>5.9941520467836256</v>
      </c>
      <c r="CF16" s="40">
        <v>5.6162246489859591</v>
      </c>
      <c r="CG16" s="40">
        <v>4.24</v>
      </c>
      <c r="CH16" s="40">
        <v>4.2300000000000004</v>
      </c>
      <c r="CI16" s="105">
        <v>3243</v>
      </c>
      <c r="CJ16" s="105">
        <v>3502</v>
      </c>
      <c r="CK16" s="104">
        <v>2970</v>
      </c>
      <c r="CL16" s="104">
        <v>2819</v>
      </c>
      <c r="CM16" s="39">
        <v>15.292625304744345</v>
      </c>
      <c r="CN16" s="39">
        <v>17.66714929296089</v>
      </c>
      <c r="CO16" s="39">
        <v>11.329953421302601</v>
      </c>
      <c r="CP16" s="39">
        <v>10.35882925753762</v>
      </c>
      <c r="CQ16" s="104">
        <v>129</v>
      </c>
      <c r="CR16" s="104">
        <v>152</v>
      </c>
      <c r="CS16" s="104">
        <v>129</v>
      </c>
      <c r="CT16" s="104">
        <v>128</v>
      </c>
      <c r="CU16" s="39">
        <v>4.0999999999999996</v>
      </c>
      <c r="CV16" s="39">
        <v>4.5</v>
      </c>
      <c r="CW16" s="39">
        <v>4.5999999999999996</v>
      </c>
      <c r="CX16" s="39">
        <v>4.7</v>
      </c>
      <c r="CY16" s="36">
        <v>188</v>
      </c>
      <c r="CZ16" s="104">
        <v>238</v>
      </c>
      <c r="DA16" s="104">
        <v>188</v>
      </c>
      <c r="DB16" s="104">
        <v>191</v>
      </c>
      <c r="DC16" s="39">
        <v>7</v>
      </c>
      <c r="DD16" s="39">
        <v>8.1999999999999993</v>
      </c>
      <c r="DE16" s="39">
        <v>7.3</v>
      </c>
      <c r="DF16" s="39">
        <v>7.1</v>
      </c>
      <c r="DG16" s="39">
        <v>89.6</v>
      </c>
      <c r="DH16" s="39">
        <v>89.9</v>
      </c>
      <c r="DI16" s="39">
        <v>89.6</v>
      </c>
      <c r="DJ16" s="39">
        <v>87.5</v>
      </c>
      <c r="DK16" s="39">
        <v>14</v>
      </c>
      <c r="DL16" s="39">
        <v>13.6</v>
      </c>
      <c r="DM16" s="39">
        <v>13.9</v>
      </c>
      <c r="DN16" s="39">
        <v>12.7</v>
      </c>
      <c r="DO16" s="39">
        <v>20</v>
      </c>
      <c r="DP16" s="39">
        <v>22.8</v>
      </c>
      <c r="DQ16" s="39">
        <v>29.1</v>
      </c>
      <c r="DR16" s="39">
        <v>33.299999999999997</v>
      </c>
      <c r="DS16" s="39">
        <v>28.2</v>
      </c>
      <c r="DT16" s="39">
        <v>21.6</v>
      </c>
      <c r="DU16" s="39">
        <v>18.2</v>
      </c>
      <c r="DV16" s="39">
        <v>11.8</v>
      </c>
      <c r="DW16" s="45">
        <v>565</v>
      </c>
      <c r="DX16" s="45">
        <v>6</v>
      </c>
      <c r="DY16" s="15">
        <v>1</v>
      </c>
      <c r="DZ16" s="45">
        <v>8</v>
      </c>
      <c r="EA16" s="45">
        <v>11</v>
      </c>
      <c r="EB16" s="45">
        <v>14</v>
      </c>
      <c r="EC16" s="45">
        <v>17</v>
      </c>
      <c r="ED16" s="45">
        <v>19</v>
      </c>
      <c r="EE16" s="45">
        <v>11</v>
      </c>
      <c r="EF16" s="104">
        <v>1489</v>
      </c>
      <c r="EG16" s="104">
        <v>1620</v>
      </c>
      <c r="EH16" s="104">
        <v>1706</v>
      </c>
      <c r="EI16" s="104">
        <v>2075</v>
      </c>
      <c r="EJ16" s="174">
        <v>436</v>
      </c>
      <c r="EK16" s="174">
        <v>3</v>
      </c>
      <c r="EL16" s="174">
        <v>1</v>
      </c>
      <c r="EM16" s="174">
        <v>3</v>
      </c>
      <c r="EN16" s="174">
        <v>1</v>
      </c>
      <c r="EO16" s="39">
        <v>724.55700000000002</v>
      </c>
      <c r="EP16" s="39">
        <v>655.87</v>
      </c>
      <c r="EQ16" s="39">
        <v>633.17700000000002</v>
      </c>
      <c r="ER16" s="39">
        <v>764.37099999999998</v>
      </c>
      <c r="ES16" s="39">
        <v>872.36400000000003</v>
      </c>
      <c r="ET16" s="39">
        <v>799.53</v>
      </c>
      <c r="EU16" s="39">
        <v>656.13699999999994</v>
      </c>
      <c r="EV16" s="39">
        <v>681.45699999999999</v>
      </c>
      <c r="EW16" s="39">
        <v>1052.9690000000001</v>
      </c>
      <c r="EX16" s="39">
        <v>895.62</v>
      </c>
      <c r="EY16" s="39">
        <v>711.48099999999999</v>
      </c>
      <c r="EZ16" s="39">
        <v>773.31700000000001</v>
      </c>
      <c r="FA16" s="39">
        <v>737.94399999999996</v>
      </c>
      <c r="FB16" s="39">
        <v>704.50199999999995</v>
      </c>
      <c r="FC16" s="39">
        <v>601.37900000000002</v>
      </c>
      <c r="FD16" s="39">
        <v>596.65499999999997</v>
      </c>
      <c r="FE16" s="44">
        <v>390</v>
      </c>
      <c r="FF16" s="44">
        <v>396</v>
      </c>
      <c r="FG16" s="44">
        <v>394</v>
      </c>
      <c r="FH16" s="44">
        <v>456</v>
      </c>
      <c r="FI16" s="39">
        <v>230.54900000000001</v>
      </c>
      <c r="FJ16" s="39">
        <v>198.934</v>
      </c>
      <c r="FK16" s="39">
        <v>148.28100000000001</v>
      </c>
      <c r="FL16" s="39">
        <v>141.965</v>
      </c>
      <c r="FM16" s="45">
        <v>313</v>
      </c>
      <c r="FN16" s="45">
        <v>327</v>
      </c>
      <c r="FO16" s="36">
        <v>290</v>
      </c>
      <c r="FP16" s="45">
        <v>417</v>
      </c>
      <c r="FQ16" s="39">
        <v>185.5</v>
      </c>
      <c r="FR16" s="39">
        <v>163.08500000000001</v>
      </c>
      <c r="FS16" s="39">
        <v>111.346</v>
      </c>
      <c r="FT16" s="39">
        <v>137.12299999999999</v>
      </c>
      <c r="FU16" s="43">
        <v>101</v>
      </c>
      <c r="FV16" s="43">
        <v>80</v>
      </c>
      <c r="FW16" s="43">
        <v>89</v>
      </c>
      <c r="FX16" s="45">
        <v>92</v>
      </c>
      <c r="FY16" s="39">
        <v>60.335000000000001</v>
      </c>
      <c r="FZ16" s="39">
        <v>39.807000000000002</v>
      </c>
      <c r="GA16" s="39">
        <v>35.095999999999997</v>
      </c>
      <c r="GB16" s="39">
        <v>30.934000000000001</v>
      </c>
      <c r="GC16" s="150">
        <v>82</v>
      </c>
      <c r="GD16" s="150">
        <v>111</v>
      </c>
      <c r="GE16" s="150">
        <v>131</v>
      </c>
      <c r="GF16" s="150">
        <v>126</v>
      </c>
      <c r="GG16" s="182">
        <v>43.78</v>
      </c>
      <c r="GH16" s="182">
        <v>48.555999999999997</v>
      </c>
      <c r="GI16" s="182">
        <v>50.618000000000002</v>
      </c>
      <c r="GJ16" s="182">
        <v>43.765999999999998</v>
      </c>
      <c r="GK16" s="182"/>
      <c r="GL16" s="114"/>
      <c r="GM16" s="114"/>
      <c r="GN16" s="114"/>
      <c r="GP16" s="114"/>
      <c r="GQ16" s="114"/>
      <c r="GR16" s="114"/>
      <c r="GS16" s="114"/>
      <c r="GU16" s="114"/>
      <c r="GV16" s="114"/>
      <c r="GW16" s="114"/>
      <c r="GX16" s="114"/>
      <c r="HE16" s="113"/>
      <c r="HF16" s="113"/>
      <c r="HG16" s="113"/>
      <c r="HH16" s="113"/>
      <c r="HI16" s="113"/>
      <c r="HJ16" s="115"/>
      <c r="HK16" s="115"/>
      <c r="HL16" s="114"/>
      <c r="HV16" s="116"/>
    </row>
    <row r="17" spans="1:230" x14ac:dyDescent="0.2">
      <c r="A17" s="128">
        <v>14</v>
      </c>
      <c r="B17" s="129" t="s">
        <v>60</v>
      </c>
      <c r="C17" s="117">
        <v>60661</v>
      </c>
      <c r="D17" s="117">
        <v>61286</v>
      </c>
      <c r="E17" s="117">
        <v>62324</v>
      </c>
      <c r="F17" s="117">
        <v>62875</v>
      </c>
      <c r="G17" s="151">
        <v>63569</v>
      </c>
      <c r="H17" s="155">
        <v>56273</v>
      </c>
      <c r="I17" s="155">
        <v>2389</v>
      </c>
      <c r="J17" s="155">
        <v>998</v>
      </c>
      <c r="K17" s="155">
        <v>1034</v>
      </c>
      <c r="L17" s="155">
        <v>2875</v>
      </c>
      <c r="M17" s="40">
        <v>22935</v>
      </c>
      <c r="N17" s="40">
        <v>23363</v>
      </c>
      <c r="O17" s="40">
        <v>23844</v>
      </c>
      <c r="P17" s="106">
        <v>24325</v>
      </c>
      <c r="Q17" s="106">
        <v>24779</v>
      </c>
      <c r="R17" s="51">
        <v>18.3</v>
      </c>
      <c r="S17" s="51">
        <v>18.7</v>
      </c>
      <c r="T17" s="51">
        <v>18.89578429274556</v>
      </c>
      <c r="U17" s="51">
        <v>19.258501296908836</v>
      </c>
      <c r="V17" s="51">
        <v>19.532732447817835</v>
      </c>
      <c r="W17" s="38">
        <v>28.6</v>
      </c>
      <c r="X17" s="38">
        <v>28.9</v>
      </c>
      <c r="Y17" s="38">
        <v>29.293577763511426</v>
      </c>
      <c r="Z17" s="38">
        <v>30.361944649358684</v>
      </c>
      <c r="AA17" s="38">
        <v>31.247628083491463</v>
      </c>
      <c r="AB17" s="51">
        <v>46.9</v>
      </c>
      <c r="AC17" s="51">
        <v>47.5</v>
      </c>
      <c r="AD17" s="51">
        <v>48.189362056256982</v>
      </c>
      <c r="AE17" s="51">
        <v>49.620445946267523</v>
      </c>
      <c r="AF17" s="51">
        <v>50.780360531309299</v>
      </c>
      <c r="AG17" s="39">
        <v>3.7</v>
      </c>
      <c r="AH17" s="39">
        <v>3.3100115204136111</v>
      </c>
      <c r="AI17" s="39">
        <v>3.0739191073919105</v>
      </c>
      <c r="AJ17" s="39">
        <v>3.4689399054692776</v>
      </c>
      <c r="AK17" s="39">
        <v>3.3219737899315658</v>
      </c>
      <c r="AL17" s="43">
        <v>2986.3333333333335</v>
      </c>
      <c r="AM17" s="43">
        <v>2723.5833333333335</v>
      </c>
      <c r="AN17" s="43">
        <v>2611.5833333333335</v>
      </c>
      <c r="AO17" s="43">
        <v>2767.9166666666665</v>
      </c>
      <c r="AP17" s="43">
        <v>2883.6666666666665</v>
      </c>
      <c r="AQ17" s="190">
        <v>41189.416221033869</v>
      </c>
      <c r="AR17" s="190">
        <v>41222.658325029806</v>
      </c>
      <c r="AS17" s="190">
        <v>42266.344698799061</v>
      </c>
      <c r="AT17" s="190">
        <v>42407.774314115304</v>
      </c>
      <c r="AU17" s="190">
        <v>42248.54</v>
      </c>
      <c r="AV17" s="162">
        <v>54551.700000000004</v>
      </c>
      <c r="AW17" s="162">
        <v>54669.68</v>
      </c>
      <c r="AX17" s="162">
        <v>57782.400000000001</v>
      </c>
      <c r="AY17" s="161">
        <v>62229.51</v>
      </c>
      <c r="AZ17" s="161">
        <v>60213</v>
      </c>
      <c r="BA17" s="49">
        <v>12.4</v>
      </c>
      <c r="BB17" s="49">
        <v>13.3</v>
      </c>
      <c r="BC17" s="49">
        <v>12.1</v>
      </c>
      <c r="BD17" s="49">
        <v>12</v>
      </c>
      <c r="BE17" s="49">
        <v>12</v>
      </c>
      <c r="BF17" s="42">
        <v>13.3</v>
      </c>
      <c r="BG17" s="42">
        <v>14.7</v>
      </c>
      <c r="BH17" s="42">
        <v>12.5</v>
      </c>
      <c r="BI17" s="42">
        <v>13.3</v>
      </c>
      <c r="BJ17" s="42">
        <v>12.8</v>
      </c>
      <c r="BK17" s="36">
        <v>9793</v>
      </c>
      <c r="BL17" s="36">
        <v>10151</v>
      </c>
      <c r="BM17" s="36">
        <v>10210</v>
      </c>
      <c r="BN17" s="36">
        <v>10703</v>
      </c>
      <c r="BO17" s="40">
        <v>32.645767384866744</v>
      </c>
      <c r="BP17" s="40">
        <v>33.858733129740912</v>
      </c>
      <c r="BQ17" s="40">
        <v>33.555337904015673</v>
      </c>
      <c r="BR17" s="40">
        <v>33.42053629823414</v>
      </c>
      <c r="BS17" s="51">
        <v>4.5338507096905953</v>
      </c>
      <c r="BT17" s="51">
        <v>4.7581519062161366</v>
      </c>
      <c r="BU17" s="51">
        <v>5.24975514201763</v>
      </c>
      <c r="BV17" s="51">
        <v>5.6152480612912266</v>
      </c>
      <c r="BW17" s="39">
        <v>15.143469825385479</v>
      </c>
      <c r="BX17" s="39">
        <v>15.279282829277903</v>
      </c>
      <c r="BY17" s="39">
        <v>14.113614103819785</v>
      </c>
      <c r="BZ17" s="39">
        <v>17.677286742034941</v>
      </c>
      <c r="CA17" s="40">
        <v>78.82822902796272</v>
      </c>
      <c r="CB17" s="40">
        <v>75.690607734806619</v>
      </c>
      <c r="CC17" s="40">
        <v>79.599999999999994</v>
      </c>
      <c r="CD17" s="40">
        <v>78.239999999999995</v>
      </c>
      <c r="CE17" s="40">
        <v>5.7256990679094537</v>
      </c>
      <c r="CF17" s="40">
        <v>7.3103448275862073</v>
      </c>
      <c r="CG17" s="40">
        <v>5.56</v>
      </c>
      <c r="CH17" s="40">
        <v>8.7799999999999994</v>
      </c>
      <c r="CI17" s="105">
        <v>2823</v>
      </c>
      <c r="CJ17" s="105">
        <v>3602</v>
      </c>
      <c r="CK17" s="104">
        <v>3925</v>
      </c>
      <c r="CL17" s="104">
        <v>4343</v>
      </c>
      <c r="CM17" s="39">
        <v>10.934528397624849</v>
      </c>
      <c r="CN17" s="39">
        <v>16.67175798642932</v>
      </c>
      <c r="CO17" s="39">
        <v>13.465437566683935</v>
      </c>
      <c r="CP17" s="39">
        <v>13.977439132323834</v>
      </c>
      <c r="CQ17" s="104">
        <v>123</v>
      </c>
      <c r="CR17" s="104">
        <v>179</v>
      </c>
      <c r="CS17" s="104">
        <v>192</v>
      </c>
      <c r="CT17" s="104">
        <v>214</v>
      </c>
      <c r="CU17" s="39">
        <v>4.5</v>
      </c>
      <c r="CV17" s="39">
        <v>5.0999999999999996</v>
      </c>
      <c r="CW17" s="39">
        <v>5.0999999999999996</v>
      </c>
      <c r="CX17" s="39">
        <v>5.0999999999999996</v>
      </c>
      <c r="CY17" s="36">
        <v>233</v>
      </c>
      <c r="CZ17" s="104">
        <v>292</v>
      </c>
      <c r="DA17" s="104">
        <v>261</v>
      </c>
      <c r="DB17" s="104">
        <v>290</v>
      </c>
      <c r="DC17" s="39">
        <v>9.1</v>
      </c>
      <c r="DD17" s="39">
        <v>9.1999999999999993</v>
      </c>
      <c r="DE17" s="39">
        <v>7.7</v>
      </c>
      <c r="DF17" s="39">
        <v>6.9</v>
      </c>
      <c r="DG17" s="39">
        <v>85.4</v>
      </c>
      <c r="DH17" s="39">
        <v>82.4</v>
      </c>
      <c r="DI17" s="39">
        <v>87.8</v>
      </c>
      <c r="DJ17" s="39">
        <v>63.8</v>
      </c>
      <c r="DK17" s="39">
        <v>16.8</v>
      </c>
      <c r="DL17" s="39">
        <v>12.5</v>
      </c>
      <c r="DM17" s="39">
        <v>13.3</v>
      </c>
      <c r="DN17" s="39">
        <v>10.8</v>
      </c>
      <c r="DO17" s="39">
        <v>27.5</v>
      </c>
      <c r="DP17" s="39">
        <v>26.4</v>
      </c>
      <c r="DQ17" s="39">
        <v>27.8</v>
      </c>
      <c r="DR17" s="39">
        <v>28.5</v>
      </c>
      <c r="DS17" s="39">
        <v>16.3</v>
      </c>
      <c r="DT17" s="39">
        <v>15.4</v>
      </c>
      <c r="DU17" s="39">
        <v>14.3</v>
      </c>
      <c r="DV17" s="39">
        <v>10</v>
      </c>
      <c r="DW17" s="45">
        <v>746</v>
      </c>
      <c r="DX17" s="45">
        <v>91</v>
      </c>
      <c r="DY17" s="15">
        <v>22</v>
      </c>
      <c r="DZ17" s="45">
        <v>12</v>
      </c>
      <c r="EA17" s="45">
        <v>0</v>
      </c>
      <c r="EB17" s="45">
        <v>26</v>
      </c>
      <c r="EC17" s="45">
        <v>23</v>
      </c>
      <c r="ED17" s="45">
        <v>24</v>
      </c>
      <c r="EE17" s="45">
        <v>20</v>
      </c>
      <c r="EF17" s="104">
        <v>1954</v>
      </c>
      <c r="EG17" s="104">
        <v>1921</v>
      </c>
      <c r="EH17" s="104">
        <v>2101</v>
      </c>
      <c r="EI17" s="104">
        <v>2377</v>
      </c>
      <c r="EJ17" s="174">
        <v>495</v>
      </c>
      <c r="EK17" s="174">
        <v>6</v>
      </c>
      <c r="EL17" s="174">
        <v>6</v>
      </c>
      <c r="EM17" s="174">
        <v>6</v>
      </c>
      <c r="EN17" s="174">
        <v>6</v>
      </c>
      <c r="EO17" s="39">
        <v>762.84900000000005</v>
      </c>
      <c r="EP17" s="39">
        <v>713.62199999999996</v>
      </c>
      <c r="EQ17" s="39">
        <v>712.21500000000003</v>
      </c>
      <c r="ER17" s="39">
        <v>762.78800000000001</v>
      </c>
      <c r="ES17" s="39">
        <v>724.09199999999998</v>
      </c>
      <c r="ET17" s="39">
        <v>639.84500000000003</v>
      </c>
      <c r="EU17" s="39">
        <v>673.08799999999997</v>
      </c>
      <c r="EV17" s="39">
        <v>701.26300000000003</v>
      </c>
      <c r="EW17" s="39">
        <v>910.72400000000005</v>
      </c>
      <c r="EX17" s="39">
        <v>769.34500000000003</v>
      </c>
      <c r="EY17" s="39">
        <v>764.74</v>
      </c>
      <c r="EZ17" s="39">
        <v>844.96199999999999</v>
      </c>
      <c r="FA17" s="39">
        <v>594.024</v>
      </c>
      <c r="FB17" s="39">
        <v>531.00800000000004</v>
      </c>
      <c r="FC17" s="39">
        <v>598.99900000000002</v>
      </c>
      <c r="FD17" s="39">
        <v>583.17899999999997</v>
      </c>
      <c r="FE17" s="44">
        <v>475</v>
      </c>
      <c r="FF17" s="44">
        <v>442</v>
      </c>
      <c r="FG17" s="44">
        <v>461</v>
      </c>
      <c r="FH17" s="44">
        <v>517</v>
      </c>
      <c r="FI17" s="39">
        <v>186.63</v>
      </c>
      <c r="FJ17" s="39">
        <v>162.90100000000001</v>
      </c>
      <c r="FK17" s="39">
        <v>155.59100000000001</v>
      </c>
      <c r="FL17" s="39">
        <v>159.59100000000001</v>
      </c>
      <c r="FM17" s="45">
        <v>524</v>
      </c>
      <c r="FN17" s="45">
        <v>462</v>
      </c>
      <c r="FO17" s="36">
        <v>434</v>
      </c>
      <c r="FP17" s="45">
        <v>437</v>
      </c>
      <c r="FQ17" s="39">
        <v>190.251</v>
      </c>
      <c r="FR17" s="39">
        <v>143.76900000000001</v>
      </c>
      <c r="FS17" s="39">
        <v>136.79</v>
      </c>
      <c r="FT17" s="39">
        <v>123.011</v>
      </c>
      <c r="FU17" s="43">
        <v>146</v>
      </c>
      <c r="FV17" s="43">
        <v>111</v>
      </c>
      <c r="FW17" s="43">
        <v>124</v>
      </c>
      <c r="FX17" s="45">
        <v>99</v>
      </c>
      <c r="FY17" s="39">
        <v>50.954999999999998</v>
      </c>
      <c r="FZ17" s="39">
        <v>34.570999999999998</v>
      </c>
      <c r="GA17" s="39">
        <v>38.206000000000003</v>
      </c>
      <c r="GB17" s="39">
        <v>28.423999999999999</v>
      </c>
      <c r="GC17" s="150">
        <v>84</v>
      </c>
      <c r="GD17" s="150">
        <v>102</v>
      </c>
      <c r="GE17" s="150">
        <v>102</v>
      </c>
      <c r="GF17" s="150">
        <v>144</v>
      </c>
      <c r="GG17" s="182">
        <v>31.19</v>
      </c>
      <c r="GH17" s="182">
        <v>36.270000000000003</v>
      </c>
      <c r="GI17" s="182">
        <v>33.933999999999997</v>
      </c>
      <c r="GJ17" s="182">
        <v>44.447000000000003</v>
      </c>
      <c r="GK17" s="182"/>
      <c r="GL17" s="114"/>
      <c r="GM17" s="114"/>
      <c r="GN17" s="114"/>
      <c r="GP17" s="114"/>
      <c r="GQ17" s="114"/>
      <c r="GR17" s="114"/>
      <c r="GS17" s="114"/>
      <c r="GU17" s="114"/>
      <c r="GV17" s="114"/>
      <c r="GW17" s="114"/>
      <c r="GX17" s="114"/>
      <c r="HE17" s="113"/>
      <c r="HF17" s="113"/>
      <c r="HG17" s="113"/>
      <c r="HH17" s="113"/>
      <c r="HI17" s="113"/>
      <c r="HJ17" s="115"/>
      <c r="HK17" s="115"/>
      <c r="HL17" s="114"/>
      <c r="HV17" s="116"/>
    </row>
    <row r="18" spans="1:230" x14ac:dyDescent="0.2">
      <c r="A18" s="128">
        <v>15</v>
      </c>
      <c r="B18" s="129" t="s">
        <v>61</v>
      </c>
      <c r="C18" s="117">
        <v>8838</v>
      </c>
      <c r="D18" s="117">
        <v>8791</v>
      </c>
      <c r="E18" s="117">
        <v>8803</v>
      </c>
      <c r="F18" s="117">
        <v>8827</v>
      </c>
      <c r="G18" s="151">
        <v>8878</v>
      </c>
      <c r="H18" s="155">
        <v>7661</v>
      </c>
      <c r="I18" s="155">
        <v>89</v>
      </c>
      <c r="J18" s="155">
        <v>884</v>
      </c>
      <c r="K18" s="155">
        <v>32</v>
      </c>
      <c r="L18" s="155">
        <v>212</v>
      </c>
      <c r="M18" s="40">
        <v>3591</v>
      </c>
      <c r="N18" s="40">
        <v>3578</v>
      </c>
      <c r="O18" s="40">
        <v>3582</v>
      </c>
      <c r="P18" s="106">
        <v>3600</v>
      </c>
      <c r="Q18" s="106">
        <v>3627</v>
      </c>
      <c r="R18" s="51">
        <v>31.5</v>
      </c>
      <c r="S18" s="51">
        <v>32.5</v>
      </c>
      <c r="T18" s="51">
        <v>33.142639206712431</v>
      </c>
      <c r="U18" s="51">
        <v>33.925840978593271</v>
      </c>
      <c r="V18" s="51">
        <v>34.661049406357719</v>
      </c>
      <c r="W18" s="38">
        <v>34.700000000000003</v>
      </c>
      <c r="X18" s="38">
        <v>34.299999999999997</v>
      </c>
      <c r="Y18" s="38">
        <v>34.725400457665906</v>
      </c>
      <c r="Z18" s="38">
        <v>34.785932721712534</v>
      </c>
      <c r="AA18" s="38">
        <v>35.35044044427422</v>
      </c>
      <c r="AB18" s="51">
        <v>66.2</v>
      </c>
      <c r="AC18" s="51">
        <v>66.8</v>
      </c>
      <c r="AD18" s="51">
        <v>67.86803966437833</v>
      </c>
      <c r="AE18" s="51">
        <v>68.711773700305812</v>
      </c>
      <c r="AF18" s="51">
        <v>70.011489850631946</v>
      </c>
      <c r="AG18" s="39">
        <v>11.2</v>
      </c>
      <c r="AH18" s="39">
        <v>10.336485594897734</v>
      </c>
      <c r="AI18" s="39">
        <v>9.2221503986209878</v>
      </c>
      <c r="AJ18" s="39">
        <v>9.6444539067489892</v>
      </c>
      <c r="AK18" s="39">
        <v>8.7767648929404274</v>
      </c>
      <c r="AL18" s="43">
        <v>518.75</v>
      </c>
      <c r="AM18" s="43">
        <v>427.25</v>
      </c>
      <c r="AN18" s="43">
        <v>394.33333333333331</v>
      </c>
      <c r="AO18" s="43">
        <v>380.75</v>
      </c>
      <c r="AP18" s="43">
        <v>348.33333333333331</v>
      </c>
      <c r="AQ18" s="190">
        <v>35863.195077484052</v>
      </c>
      <c r="AR18" s="190">
        <v>38083.064295485638</v>
      </c>
      <c r="AS18" s="190">
        <v>40020.385185185187</v>
      </c>
      <c r="AT18" s="190">
        <v>40389.605755069671</v>
      </c>
      <c r="AU18" s="190">
        <v>41742.81</v>
      </c>
      <c r="AV18" s="162">
        <v>42739.200000000004</v>
      </c>
      <c r="AW18" s="162">
        <v>45887.92</v>
      </c>
      <c r="AX18" s="162">
        <v>45420.959999999999</v>
      </c>
      <c r="AY18" s="161">
        <v>43969.67</v>
      </c>
      <c r="AZ18" s="161">
        <v>48115</v>
      </c>
      <c r="BA18" s="49">
        <v>16.399999999999999</v>
      </c>
      <c r="BB18" s="49">
        <v>17.8</v>
      </c>
      <c r="BC18" s="49">
        <v>14.6</v>
      </c>
      <c r="BD18" s="49">
        <v>16.5</v>
      </c>
      <c r="BE18" s="49">
        <v>14.8</v>
      </c>
      <c r="BF18" s="42">
        <v>24.6</v>
      </c>
      <c r="BG18" s="42">
        <v>26.8</v>
      </c>
      <c r="BH18" s="42">
        <v>23.3</v>
      </c>
      <c r="BI18" s="42">
        <v>22.5</v>
      </c>
      <c r="BJ18" s="42">
        <v>18.399999999999999</v>
      </c>
      <c r="BK18" s="36">
        <v>1462</v>
      </c>
      <c r="BL18" s="36">
        <v>1454</v>
      </c>
      <c r="BM18" s="36">
        <v>1441</v>
      </c>
      <c r="BN18" s="36">
        <v>1506</v>
      </c>
      <c r="BO18" s="40">
        <v>52.257181942544463</v>
      </c>
      <c r="BP18" s="40">
        <v>51.169188445667125</v>
      </c>
      <c r="BQ18" s="40">
        <v>48.438584316446914</v>
      </c>
      <c r="BR18" s="40">
        <v>50.863213811420984</v>
      </c>
      <c r="BS18" s="51">
        <v>0</v>
      </c>
      <c r="BT18" s="51" t="s">
        <v>481</v>
      </c>
      <c r="BU18" s="51" t="s">
        <v>481</v>
      </c>
      <c r="BV18" s="51">
        <v>0</v>
      </c>
      <c r="BW18" s="39">
        <v>17.715458276333788</v>
      </c>
      <c r="BX18" s="39">
        <v>19.257221458046768</v>
      </c>
      <c r="BY18" s="39">
        <v>17.210270645385148</v>
      </c>
      <c r="BZ18" s="39">
        <v>18.791500664010623</v>
      </c>
      <c r="CA18" s="40">
        <v>75.555555555555557</v>
      </c>
      <c r="CB18" s="40">
        <v>79.545454545454547</v>
      </c>
      <c r="CC18" s="40">
        <v>81.819999999999993</v>
      </c>
      <c r="CD18" s="40">
        <v>90.1</v>
      </c>
      <c r="CE18" s="40">
        <v>8.8888888888888893</v>
      </c>
      <c r="CF18" s="40">
        <v>9.4117647058823533</v>
      </c>
      <c r="CG18" s="40">
        <v>8.08</v>
      </c>
      <c r="CH18" s="40">
        <v>4.95</v>
      </c>
      <c r="CI18" s="105">
        <v>482</v>
      </c>
      <c r="CJ18" s="105">
        <v>615</v>
      </c>
      <c r="CK18" s="104">
        <v>548</v>
      </c>
      <c r="CL18" s="104">
        <v>552</v>
      </c>
      <c r="CM18" s="39">
        <v>11.579857774360946</v>
      </c>
      <c r="CN18" s="39">
        <v>18.304660991725697</v>
      </c>
      <c r="CO18" s="39">
        <v>12.844853854628132</v>
      </c>
      <c r="CP18" s="39">
        <v>12.506513809275663</v>
      </c>
      <c r="CQ18" s="104">
        <v>17</v>
      </c>
      <c r="CR18" s="104">
        <v>24</v>
      </c>
      <c r="CS18" s="104">
        <v>27</v>
      </c>
      <c r="CT18" s="104">
        <v>20</v>
      </c>
      <c r="CU18" s="39">
        <v>3.7</v>
      </c>
      <c r="CV18" s="39">
        <v>4</v>
      </c>
      <c r="CW18" s="39">
        <v>5.0999999999999996</v>
      </c>
      <c r="CX18" s="39">
        <v>3.8</v>
      </c>
      <c r="CY18" s="36">
        <v>29</v>
      </c>
      <c r="CZ18" s="104">
        <v>42</v>
      </c>
      <c r="DA18" s="104">
        <v>38</v>
      </c>
      <c r="DB18" s="104">
        <v>26</v>
      </c>
      <c r="DC18" s="39">
        <v>7.5</v>
      </c>
      <c r="DD18" s="39">
        <v>8.1999999999999993</v>
      </c>
      <c r="DE18" s="39">
        <v>8.1</v>
      </c>
      <c r="DF18" s="39">
        <v>4.9000000000000004</v>
      </c>
      <c r="DG18" s="39">
        <v>73</v>
      </c>
      <c r="DH18" s="39">
        <v>74.8</v>
      </c>
      <c r="DI18" s="39">
        <v>71.400000000000006</v>
      </c>
      <c r="DJ18" s="39">
        <v>75.599999999999994</v>
      </c>
      <c r="DK18" s="39">
        <v>17.5</v>
      </c>
      <c r="DL18" s="39">
        <v>23.2</v>
      </c>
      <c r="DM18" s="39">
        <v>21.5</v>
      </c>
      <c r="DN18" s="39">
        <v>16.600000000000001</v>
      </c>
      <c r="DO18" s="39">
        <v>38.6</v>
      </c>
      <c r="DP18" s="39">
        <v>37.4</v>
      </c>
      <c r="DQ18" s="39">
        <v>40</v>
      </c>
      <c r="DR18" s="39">
        <v>37.9</v>
      </c>
      <c r="DS18" s="39">
        <v>37.1</v>
      </c>
      <c r="DT18" s="39">
        <v>47.7</v>
      </c>
      <c r="DU18" s="39">
        <v>32.1</v>
      </c>
      <c r="DV18" s="39">
        <v>25</v>
      </c>
      <c r="DW18" s="45">
        <v>93</v>
      </c>
      <c r="DX18" s="45">
        <v>1</v>
      </c>
      <c r="DY18" s="15">
        <v>13</v>
      </c>
      <c r="DZ18" s="45">
        <v>1</v>
      </c>
      <c r="EA18" s="45">
        <v>2</v>
      </c>
      <c r="EB18" s="45">
        <v>4</v>
      </c>
      <c r="EC18" s="45">
        <v>4</v>
      </c>
      <c r="ED18" s="45">
        <v>2</v>
      </c>
      <c r="EE18" s="45">
        <v>2</v>
      </c>
      <c r="EF18" s="104">
        <v>557</v>
      </c>
      <c r="EG18" s="104">
        <v>463</v>
      </c>
      <c r="EH18" s="104">
        <v>471</v>
      </c>
      <c r="EI18" s="104">
        <v>521</v>
      </c>
      <c r="EJ18" s="174">
        <v>103</v>
      </c>
      <c r="EK18" s="174"/>
      <c r="EL18" s="174">
        <v>10</v>
      </c>
      <c r="EM18" s="174"/>
      <c r="EN18" s="174">
        <v>1</v>
      </c>
      <c r="EO18" s="39">
        <v>1322.569</v>
      </c>
      <c r="EP18" s="39">
        <v>1092.4960000000001</v>
      </c>
      <c r="EQ18" s="39">
        <v>1083.3810000000001</v>
      </c>
      <c r="ER18" s="39">
        <v>1183.6869999999999</v>
      </c>
      <c r="ES18" s="39">
        <v>921.89400000000001</v>
      </c>
      <c r="ET18" s="39">
        <v>775.43299999999999</v>
      </c>
      <c r="EU18" s="39">
        <v>763.298</v>
      </c>
      <c r="EV18" s="39">
        <v>833.27499999999998</v>
      </c>
      <c r="EW18" s="39">
        <v>1021.385</v>
      </c>
      <c r="EX18" s="39">
        <v>1035.9880000000001</v>
      </c>
      <c r="EY18" s="39">
        <v>887.12400000000002</v>
      </c>
      <c r="EZ18" s="39">
        <v>972.54300000000001</v>
      </c>
      <c r="FA18" s="39">
        <v>845.85599999999999</v>
      </c>
      <c r="FB18" s="39">
        <v>560.01499999999999</v>
      </c>
      <c r="FC18" s="39">
        <v>651.90300000000002</v>
      </c>
      <c r="FD18" s="39">
        <v>687.94200000000001</v>
      </c>
      <c r="FE18" s="44">
        <v>115</v>
      </c>
      <c r="FF18" s="44">
        <v>98</v>
      </c>
      <c r="FG18" s="44">
        <v>116</v>
      </c>
      <c r="FH18" s="44">
        <v>117</v>
      </c>
      <c r="FI18" s="39">
        <v>195.83500000000001</v>
      </c>
      <c r="FJ18" s="39">
        <v>174.03399999999999</v>
      </c>
      <c r="FK18" s="39">
        <v>188.70500000000001</v>
      </c>
      <c r="FL18" s="39">
        <v>177.64</v>
      </c>
      <c r="FM18" s="45">
        <v>158</v>
      </c>
      <c r="FN18" s="45">
        <v>135</v>
      </c>
      <c r="FO18" s="36">
        <v>107</v>
      </c>
      <c r="FP18" s="45">
        <v>109</v>
      </c>
      <c r="FQ18" s="39">
        <v>243.792</v>
      </c>
      <c r="FR18" s="39">
        <v>216.62899999999999</v>
      </c>
      <c r="FS18" s="39">
        <v>166.89400000000001</v>
      </c>
      <c r="FT18" s="39">
        <v>170.66300000000001</v>
      </c>
      <c r="FU18" s="43">
        <v>46</v>
      </c>
      <c r="FV18" s="43">
        <v>18</v>
      </c>
      <c r="FW18" s="43">
        <v>36</v>
      </c>
      <c r="FX18" s="45">
        <v>32</v>
      </c>
      <c r="FY18" s="39">
        <v>70.837999999999994</v>
      </c>
      <c r="FZ18" s="39">
        <v>29.363</v>
      </c>
      <c r="GA18" s="39">
        <v>53.64</v>
      </c>
      <c r="GB18" s="39">
        <v>48.128</v>
      </c>
      <c r="GC18" s="150">
        <v>41</v>
      </c>
      <c r="GD18" s="150">
        <v>19</v>
      </c>
      <c r="GE18" s="150">
        <v>19</v>
      </c>
      <c r="GF18" s="150">
        <v>35</v>
      </c>
      <c r="GG18" s="182">
        <v>92.921000000000006</v>
      </c>
      <c r="GH18" s="182">
        <v>39.179000000000002</v>
      </c>
      <c r="GI18" s="182">
        <v>38.866</v>
      </c>
      <c r="GJ18" s="182">
        <v>73.143000000000001</v>
      </c>
      <c r="GK18" s="182"/>
      <c r="GL18" s="114"/>
      <c r="GM18" s="114"/>
      <c r="GN18" s="114"/>
      <c r="GP18" s="114"/>
      <c r="GQ18" s="114"/>
      <c r="GR18" s="114"/>
      <c r="GS18" s="114"/>
      <c r="GU18" s="114"/>
      <c r="GV18" s="114"/>
      <c r="GW18" s="114"/>
      <c r="GX18" s="114"/>
      <c r="HE18" s="113"/>
      <c r="HF18" s="113"/>
      <c r="HG18" s="113"/>
      <c r="HH18" s="113"/>
      <c r="HI18" s="113"/>
      <c r="HJ18" s="115"/>
      <c r="HK18" s="115"/>
      <c r="HL18" s="114"/>
      <c r="HV18" s="116"/>
    </row>
    <row r="19" spans="1:230" x14ac:dyDescent="0.2">
      <c r="A19" s="128">
        <v>16</v>
      </c>
      <c r="B19" s="129" t="s">
        <v>62</v>
      </c>
      <c r="C19" s="117">
        <v>5200</v>
      </c>
      <c r="D19" s="117">
        <v>5233</v>
      </c>
      <c r="E19" s="117">
        <v>5194</v>
      </c>
      <c r="F19" s="117">
        <v>5286</v>
      </c>
      <c r="G19" s="151">
        <v>5398</v>
      </c>
      <c r="H19" s="155">
        <v>4687</v>
      </c>
      <c r="I19" s="155">
        <v>66</v>
      </c>
      <c r="J19" s="155">
        <v>459</v>
      </c>
      <c r="K19" s="155">
        <v>51</v>
      </c>
      <c r="L19" s="155">
        <v>135</v>
      </c>
      <c r="M19" s="40">
        <v>2519</v>
      </c>
      <c r="N19" s="40">
        <v>2546</v>
      </c>
      <c r="O19" s="40">
        <v>2552</v>
      </c>
      <c r="P19" s="106">
        <v>2572</v>
      </c>
      <c r="Q19" s="106">
        <v>2638</v>
      </c>
      <c r="R19" s="51">
        <v>38</v>
      </c>
      <c r="S19" s="51">
        <v>39</v>
      </c>
      <c r="T19" s="51">
        <v>40.394696268886833</v>
      </c>
      <c r="U19" s="51">
        <v>42.724458204334361</v>
      </c>
      <c r="V19" s="51">
        <v>46.18511569731082</v>
      </c>
      <c r="W19" s="38">
        <v>22.3</v>
      </c>
      <c r="X19" s="38">
        <v>21.4</v>
      </c>
      <c r="Y19" s="38">
        <v>19.765649090348443</v>
      </c>
      <c r="Z19" s="38">
        <v>20.928792569659443</v>
      </c>
      <c r="AA19" s="38">
        <v>22.607879924953096</v>
      </c>
      <c r="AB19" s="51">
        <v>60.3</v>
      </c>
      <c r="AC19" s="51">
        <v>60.4</v>
      </c>
      <c r="AD19" s="51">
        <v>60.160345359235279</v>
      </c>
      <c r="AE19" s="51">
        <v>63.653250773993811</v>
      </c>
      <c r="AF19" s="51">
        <v>68.792995622263916</v>
      </c>
      <c r="AG19" s="39">
        <v>5.5</v>
      </c>
      <c r="AH19" s="39">
        <v>5.4977228366948605</v>
      </c>
      <c r="AI19" s="39">
        <v>4.3969849246231156</v>
      </c>
      <c r="AJ19" s="39">
        <v>4.5811518324607325</v>
      </c>
      <c r="AK19" s="39">
        <v>4.080267558528428</v>
      </c>
      <c r="AL19" s="43">
        <v>176.25</v>
      </c>
      <c r="AM19" s="43">
        <v>166.25</v>
      </c>
      <c r="AN19" s="43">
        <v>154.25</v>
      </c>
      <c r="AO19" s="43">
        <v>150.83333333333334</v>
      </c>
      <c r="AP19" s="43">
        <v>153.83333333333334</v>
      </c>
      <c r="AQ19" s="190">
        <v>44789.924652241112</v>
      </c>
      <c r="AR19" s="190">
        <v>45486.252873563215</v>
      </c>
      <c r="AS19" s="190">
        <v>47737.557603686641</v>
      </c>
      <c r="AT19" s="190">
        <v>48007.236095346205</v>
      </c>
      <c r="AU19" s="190">
        <v>52471.29</v>
      </c>
      <c r="AV19" s="162">
        <v>48952.05</v>
      </c>
      <c r="AW19" s="162">
        <v>50048.959999999999</v>
      </c>
      <c r="AX19" s="162">
        <v>50536.72</v>
      </c>
      <c r="AY19" s="161">
        <v>51860.5</v>
      </c>
      <c r="AZ19" s="161">
        <v>51146</v>
      </c>
      <c r="BA19" s="49">
        <v>10.1</v>
      </c>
      <c r="BB19" s="49">
        <v>10.4</v>
      </c>
      <c r="BC19" s="49">
        <v>11.1</v>
      </c>
      <c r="BD19" s="49">
        <v>10.1</v>
      </c>
      <c r="BE19" s="49">
        <v>8.8000000000000007</v>
      </c>
      <c r="BF19" s="42">
        <v>16.5</v>
      </c>
      <c r="BG19" s="42">
        <v>16.2</v>
      </c>
      <c r="BH19" s="42">
        <v>17.8</v>
      </c>
      <c r="BI19" s="42">
        <v>12.2</v>
      </c>
      <c r="BJ19" s="42">
        <v>15.3</v>
      </c>
      <c r="BK19" s="36">
        <v>588</v>
      </c>
      <c r="BL19" s="36">
        <v>577</v>
      </c>
      <c r="BM19" s="36">
        <v>601</v>
      </c>
      <c r="BN19" s="36">
        <v>666</v>
      </c>
      <c r="BO19" s="40">
        <v>43.367346938775512</v>
      </c>
      <c r="BP19" s="40">
        <v>44.194107452339686</v>
      </c>
      <c r="BQ19" s="40">
        <v>46.256239600665559</v>
      </c>
      <c r="BR19" s="40">
        <v>42.342342342342342</v>
      </c>
      <c r="BS19" s="51">
        <v>0</v>
      </c>
      <c r="BT19" s="51" t="s">
        <v>481</v>
      </c>
      <c r="BU19" s="51" t="s">
        <v>481</v>
      </c>
      <c r="BV19" s="51">
        <v>0</v>
      </c>
      <c r="BW19" s="39">
        <v>17.687074829931973</v>
      </c>
      <c r="BX19" s="39">
        <v>19.75736568457539</v>
      </c>
      <c r="BY19" s="39">
        <v>20.299500831946755</v>
      </c>
      <c r="BZ19" s="39">
        <v>22.522522522522522</v>
      </c>
      <c r="CA19" s="40">
        <v>78.260869565217391</v>
      </c>
      <c r="CB19" s="40">
        <v>85.714285714285708</v>
      </c>
      <c r="CC19" s="40">
        <v>90.48</v>
      </c>
      <c r="CD19" s="40">
        <v>92.73</v>
      </c>
      <c r="CE19" s="40">
        <v>2.1739130434782608</v>
      </c>
      <c r="CF19" s="40">
        <v>2.0408163265306123</v>
      </c>
      <c r="CG19" s="40">
        <v>2.38</v>
      </c>
      <c r="CH19" s="40">
        <v>5.45</v>
      </c>
      <c r="CI19" s="105">
        <v>211</v>
      </c>
      <c r="CJ19" s="105">
        <v>227</v>
      </c>
      <c r="CK19" s="104">
        <v>235</v>
      </c>
      <c r="CL19" s="104">
        <v>237</v>
      </c>
      <c r="CM19" s="39">
        <v>8.4117365651411262</v>
      </c>
      <c r="CN19" s="39">
        <v>10.602026995469618</v>
      </c>
      <c r="CO19" s="39">
        <v>8.8719420114768948</v>
      </c>
      <c r="CP19" s="39">
        <v>9.0076393903690466</v>
      </c>
      <c r="CQ19" s="104">
        <v>13</v>
      </c>
      <c r="CR19" s="104">
        <v>4</v>
      </c>
      <c r="CS19" s="104">
        <v>9</v>
      </c>
      <c r="CT19" s="104">
        <v>13</v>
      </c>
      <c r="CU19" s="39">
        <v>6.4</v>
      </c>
      <c r="CV19" s="39">
        <v>1.8</v>
      </c>
      <c r="CW19" s="39">
        <v>4.0999999999999996</v>
      </c>
      <c r="CX19" s="39">
        <v>5.8</v>
      </c>
      <c r="CY19" s="36">
        <v>18</v>
      </c>
      <c r="CZ19" s="104">
        <v>16</v>
      </c>
      <c r="DA19" s="104">
        <v>15</v>
      </c>
      <c r="DB19" s="104">
        <v>17</v>
      </c>
      <c r="DC19" s="39">
        <v>9</v>
      </c>
      <c r="DD19" s="39">
        <v>7.5</v>
      </c>
      <c r="DE19" s="39">
        <v>7.1</v>
      </c>
      <c r="DF19" s="39">
        <v>7.7</v>
      </c>
      <c r="DG19" s="39">
        <v>77.3</v>
      </c>
      <c r="DH19" s="39">
        <v>82.2</v>
      </c>
      <c r="DI19" s="39">
        <v>79.2</v>
      </c>
      <c r="DJ19" s="39">
        <v>80.2</v>
      </c>
      <c r="DK19" s="39">
        <v>20.9</v>
      </c>
      <c r="DL19" s="39">
        <v>18.5</v>
      </c>
      <c r="DM19" s="39">
        <v>18.7</v>
      </c>
      <c r="DN19" s="39">
        <v>21.1</v>
      </c>
      <c r="DO19" s="39">
        <v>32.200000000000003</v>
      </c>
      <c r="DP19" s="39">
        <v>31.3</v>
      </c>
      <c r="DQ19" s="39">
        <v>29.8</v>
      </c>
      <c r="DR19" s="39">
        <v>33.299999999999997</v>
      </c>
      <c r="DS19" s="39">
        <v>20.5</v>
      </c>
      <c r="DT19" s="39">
        <v>23.2</v>
      </c>
      <c r="DU19" s="39">
        <v>17.100000000000001</v>
      </c>
      <c r="DV19" s="39">
        <v>10.5</v>
      </c>
      <c r="DW19" s="45">
        <v>37</v>
      </c>
      <c r="DX19" s="45">
        <v>0</v>
      </c>
      <c r="DY19" s="15">
        <v>7</v>
      </c>
      <c r="DZ19" s="45">
        <v>0</v>
      </c>
      <c r="EA19" s="45">
        <v>1</v>
      </c>
      <c r="EB19" s="45">
        <v>4</v>
      </c>
      <c r="EC19" s="45"/>
      <c r="ED19" s="45">
        <v>2</v>
      </c>
      <c r="EE19" s="45">
        <v>4</v>
      </c>
      <c r="EF19" s="104">
        <v>236</v>
      </c>
      <c r="EG19" s="104">
        <v>227</v>
      </c>
      <c r="EH19" s="104">
        <v>221</v>
      </c>
      <c r="EI19" s="104">
        <v>259</v>
      </c>
      <c r="EJ19" s="174">
        <v>52</v>
      </c>
      <c r="EK19" s="174"/>
      <c r="EL19" s="174">
        <v>7</v>
      </c>
      <c r="EM19" s="174"/>
      <c r="EN19" s="174"/>
      <c r="EO19" s="39">
        <v>913.31299999999999</v>
      </c>
      <c r="EP19" s="39">
        <v>845.91</v>
      </c>
      <c r="EQ19" s="39">
        <v>853.94100000000003</v>
      </c>
      <c r="ER19" s="39">
        <v>997.30499999999995</v>
      </c>
      <c r="ES19" s="39">
        <v>687.13800000000003</v>
      </c>
      <c r="ET19" s="39">
        <v>564.38199999999995</v>
      </c>
      <c r="EU19" s="39">
        <v>565.29700000000003</v>
      </c>
      <c r="EV19" s="39">
        <v>630.90300000000002</v>
      </c>
      <c r="EW19" s="39">
        <v>851.72400000000005</v>
      </c>
      <c r="EX19" s="39">
        <v>672.78</v>
      </c>
      <c r="EY19" s="39">
        <v>729.505</v>
      </c>
      <c r="EZ19" s="39">
        <v>809.04100000000005</v>
      </c>
      <c r="FA19" s="39">
        <v>541.45600000000002</v>
      </c>
      <c r="FB19" s="39">
        <v>461.00400000000002</v>
      </c>
      <c r="FC19" s="39">
        <v>433.57100000000003</v>
      </c>
      <c r="FD19" s="39">
        <v>499.62299999999999</v>
      </c>
      <c r="FE19" s="44">
        <v>55</v>
      </c>
      <c r="FF19" s="44">
        <v>63</v>
      </c>
      <c r="FG19" s="44">
        <v>54</v>
      </c>
      <c r="FH19" s="44">
        <v>75</v>
      </c>
      <c r="FI19" s="39">
        <v>155.18899999999999</v>
      </c>
      <c r="FJ19" s="39">
        <v>159.00299999999999</v>
      </c>
      <c r="FK19" s="39">
        <v>129.124</v>
      </c>
      <c r="FL19" s="39">
        <v>171.06100000000001</v>
      </c>
      <c r="FM19" s="45">
        <v>49</v>
      </c>
      <c r="FN19" s="45">
        <v>48</v>
      </c>
      <c r="FO19" s="36">
        <v>59</v>
      </c>
      <c r="FP19" s="45">
        <v>50</v>
      </c>
      <c r="FQ19" s="39">
        <v>138.22499999999999</v>
      </c>
      <c r="FR19" s="39">
        <v>120.18600000000001</v>
      </c>
      <c r="FS19" s="39">
        <v>147.31800000000001</v>
      </c>
      <c r="FT19" s="39">
        <v>117.286</v>
      </c>
      <c r="FU19" s="43">
        <v>13</v>
      </c>
      <c r="FV19" s="43">
        <v>13</v>
      </c>
      <c r="FW19" s="43">
        <v>14</v>
      </c>
      <c r="FX19" s="45">
        <v>12</v>
      </c>
      <c r="FY19" s="39">
        <v>35.518999999999998</v>
      </c>
      <c r="FZ19" s="39">
        <v>32.180999999999997</v>
      </c>
      <c r="GA19" s="39">
        <v>36.798000000000002</v>
      </c>
      <c r="GB19" s="39">
        <v>29.3</v>
      </c>
      <c r="GC19" s="150">
        <v>18</v>
      </c>
      <c r="GD19" s="150">
        <v>9</v>
      </c>
      <c r="GE19" s="150">
        <v>15</v>
      </c>
      <c r="GF19" s="150">
        <v>14</v>
      </c>
      <c r="GG19" s="182">
        <v>57.665999999999997</v>
      </c>
      <c r="GH19" s="182">
        <v>27.593</v>
      </c>
      <c r="GI19" s="182">
        <v>45.497999999999998</v>
      </c>
      <c r="GJ19" s="182">
        <v>47.228999999999999</v>
      </c>
      <c r="GK19" s="182"/>
      <c r="GL19" s="114"/>
      <c r="GM19" s="114"/>
      <c r="GN19" s="114"/>
      <c r="GP19" s="114"/>
      <c r="GQ19" s="114"/>
      <c r="GR19" s="114"/>
      <c r="GS19" s="114"/>
      <c r="GU19" s="114"/>
      <c r="GV19" s="114"/>
      <c r="GW19" s="114"/>
      <c r="GX19" s="114"/>
      <c r="HE19" s="113"/>
      <c r="HF19" s="113"/>
      <c r="HG19" s="113"/>
      <c r="HH19" s="113"/>
      <c r="HI19" s="113"/>
      <c r="HJ19" s="115"/>
      <c r="HK19" s="115"/>
      <c r="HL19" s="114"/>
      <c r="HV19" s="116"/>
    </row>
    <row r="20" spans="1:230" ht="21" customHeight="1" x14ac:dyDescent="0.2">
      <c r="A20" s="128">
        <v>17</v>
      </c>
      <c r="B20" s="129" t="s">
        <v>63</v>
      </c>
      <c r="C20" s="117">
        <v>11616</v>
      </c>
      <c r="D20" s="117">
        <v>11633</v>
      </c>
      <c r="E20" s="117">
        <v>11549</v>
      </c>
      <c r="F20" s="117">
        <v>11470</v>
      </c>
      <c r="G20" s="151">
        <v>11295</v>
      </c>
      <c r="H20" s="155">
        <v>9820</v>
      </c>
      <c r="I20" s="155">
        <v>136</v>
      </c>
      <c r="J20" s="155">
        <v>45</v>
      </c>
      <c r="K20" s="155">
        <v>425</v>
      </c>
      <c r="L20" s="155">
        <v>869</v>
      </c>
      <c r="M20" s="40">
        <v>4862</v>
      </c>
      <c r="N20" s="40">
        <v>4864</v>
      </c>
      <c r="O20" s="40">
        <v>4851</v>
      </c>
      <c r="P20" s="106">
        <v>4833</v>
      </c>
      <c r="Q20" s="106">
        <v>4807</v>
      </c>
      <c r="R20" s="51">
        <v>38.4</v>
      </c>
      <c r="S20" s="51">
        <v>38.799999999999997</v>
      </c>
      <c r="T20" s="51">
        <v>39.53593491035106</v>
      </c>
      <c r="U20" s="51">
        <v>40.189341884257139</v>
      </c>
      <c r="V20" s="51">
        <v>40.046583850931675</v>
      </c>
      <c r="W20" s="38">
        <v>33.1</v>
      </c>
      <c r="X20" s="38">
        <v>34</v>
      </c>
      <c r="Y20" s="38">
        <v>34.473406659635373</v>
      </c>
      <c r="Z20" s="38">
        <v>34.951901053595968</v>
      </c>
      <c r="AA20" s="38">
        <v>35.341614906832298</v>
      </c>
      <c r="AB20" s="51">
        <v>71.599999999999994</v>
      </c>
      <c r="AC20" s="51">
        <v>72.8</v>
      </c>
      <c r="AD20" s="51">
        <v>74.009341569986447</v>
      </c>
      <c r="AE20" s="51">
        <v>75.141242937853107</v>
      </c>
      <c r="AF20" s="51">
        <v>75.388198757763973</v>
      </c>
      <c r="AG20" s="39">
        <v>5.2</v>
      </c>
      <c r="AH20" s="39">
        <v>5.1158645276292338</v>
      </c>
      <c r="AI20" s="39">
        <v>4.7529812606473589</v>
      </c>
      <c r="AJ20" s="39">
        <v>7.2592324402606812</v>
      </c>
      <c r="AK20" s="39">
        <v>6.1111111111111107</v>
      </c>
      <c r="AL20" s="43">
        <v>522.33333333333337</v>
      </c>
      <c r="AM20" s="43">
        <v>504.5</v>
      </c>
      <c r="AN20" s="43">
        <v>471.66666666666669</v>
      </c>
      <c r="AO20" s="43">
        <v>478.58333333333331</v>
      </c>
      <c r="AP20" s="43">
        <v>470.66666666666669</v>
      </c>
      <c r="AQ20" s="190">
        <v>49276.433121019109</v>
      </c>
      <c r="AR20" s="190">
        <v>45154.413291796474</v>
      </c>
      <c r="AS20" s="190">
        <v>47023.92906815021</v>
      </c>
      <c r="AT20" s="190">
        <v>44501.65736704447</v>
      </c>
      <c r="AU20" s="190">
        <v>44455.83</v>
      </c>
      <c r="AV20" s="162">
        <v>46671.450000000004</v>
      </c>
      <c r="AW20" s="162">
        <v>47271.12</v>
      </c>
      <c r="AX20" s="162">
        <v>50103.040000000001</v>
      </c>
      <c r="AY20" s="161">
        <v>50931.44</v>
      </c>
      <c r="AZ20" s="161">
        <v>48976</v>
      </c>
      <c r="BA20" s="49">
        <v>14.5</v>
      </c>
      <c r="BB20" s="49">
        <v>12.9</v>
      </c>
      <c r="BC20" s="49">
        <v>13.7</v>
      </c>
      <c r="BD20" s="49">
        <v>12</v>
      </c>
      <c r="BE20" s="49">
        <v>11.3</v>
      </c>
      <c r="BF20" s="42">
        <v>19</v>
      </c>
      <c r="BG20" s="42">
        <v>18.899999999999999</v>
      </c>
      <c r="BH20" s="42">
        <v>19.100000000000001</v>
      </c>
      <c r="BI20" s="42">
        <v>15.9</v>
      </c>
      <c r="BJ20" s="42">
        <v>15.8</v>
      </c>
      <c r="BK20" s="36">
        <v>2315</v>
      </c>
      <c r="BL20" s="36">
        <v>2333</v>
      </c>
      <c r="BM20" s="36">
        <v>2275</v>
      </c>
      <c r="BN20" s="36">
        <v>1808</v>
      </c>
      <c r="BO20" s="40">
        <v>48.293736501079913</v>
      </c>
      <c r="BP20" s="40">
        <v>48.649807115302188</v>
      </c>
      <c r="BQ20" s="40">
        <v>48.131868131868131</v>
      </c>
      <c r="BR20" s="40">
        <v>49.391592920353986</v>
      </c>
      <c r="BS20" s="51">
        <v>9.3304535637149026</v>
      </c>
      <c r="BT20" s="51">
        <v>8.5297899699957132</v>
      </c>
      <c r="BU20" s="51">
        <v>8.1758241758241752</v>
      </c>
      <c r="BV20" s="51">
        <v>9.2367256637168147</v>
      </c>
      <c r="BW20" s="39">
        <v>16.457883369330453</v>
      </c>
      <c r="BX20" s="39">
        <v>16.159451350192885</v>
      </c>
      <c r="BY20" s="39">
        <v>14.76923076923077</v>
      </c>
      <c r="BZ20" s="39">
        <v>20.575221238938052</v>
      </c>
      <c r="CA20" s="40">
        <v>91.19496855345912</v>
      </c>
      <c r="CB20" s="40">
        <v>90.604026845637591</v>
      </c>
      <c r="CC20" s="40">
        <v>89.74</v>
      </c>
      <c r="CD20" s="40">
        <v>94.84</v>
      </c>
      <c r="CE20" s="40">
        <v>1.257861635220126</v>
      </c>
      <c r="CF20" s="40">
        <v>3.3557046979865772</v>
      </c>
      <c r="CG20" s="40">
        <v>1.92</v>
      </c>
      <c r="CH20" s="40">
        <v>4.5199999999999996</v>
      </c>
      <c r="CI20" s="105">
        <v>689</v>
      </c>
      <c r="CJ20" s="105">
        <v>699</v>
      </c>
      <c r="CK20" s="104">
        <v>724</v>
      </c>
      <c r="CL20" s="104">
        <v>749</v>
      </c>
      <c r="CM20" s="39">
        <v>11.438152630443083</v>
      </c>
      <c r="CN20" s="39">
        <v>14.934940067944362</v>
      </c>
      <c r="CO20" s="39">
        <v>12.620056127873939</v>
      </c>
      <c r="CP20" s="39">
        <v>13.011830516130154</v>
      </c>
      <c r="CQ20" s="104">
        <v>30</v>
      </c>
      <c r="CR20" s="104">
        <v>35</v>
      </c>
      <c r="CS20" s="104">
        <v>27</v>
      </c>
      <c r="CT20" s="104">
        <v>37</v>
      </c>
      <c r="CU20" s="39">
        <v>4.5</v>
      </c>
      <c r="CV20" s="39">
        <v>5.2</v>
      </c>
      <c r="CW20" s="39">
        <v>3.9</v>
      </c>
      <c r="CX20" s="39">
        <v>5.0999999999999996</v>
      </c>
      <c r="CY20" s="36">
        <v>47</v>
      </c>
      <c r="CZ20" s="104">
        <v>63</v>
      </c>
      <c r="DA20" s="104">
        <v>58</v>
      </c>
      <c r="DB20" s="104">
        <v>60</v>
      </c>
      <c r="DC20" s="39">
        <v>7.2</v>
      </c>
      <c r="DD20" s="39">
        <v>9.6999999999999993</v>
      </c>
      <c r="DE20" s="39">
        <v>8.6999999999999993</v>
      </c>
      <c r="DF20" s="39">
        <v>8.3000000000000007</v>
      </c>
      <c r="DG20" s="39">
        <v>86.9</v>
      </c>
      <c r="DH20" s="39">
        <v>88.2</v>
      </c>
      <c r="DI20" s="39">
        <v>84.5</v>
      </c>
      <c r="DJ20" s="39">
        <v>84.3</v>
      </c>
      <c r="DK20" s="39">
        <v>13.2</v>
      </c>
      <c r="DL20" s="39">
        <v>13.2</v>
      </c>
      <c r="DM20" s="39">
        <v>15.4</v>
      </c>
      <c r="DN20" s="39">
        <v>13.4</v>
      </c>
      <c r="DO20" s="39">
        <v>25.8</v>
      </c>
      <c r="DP20" s="39">
        <v>29</v>
      </c>
      <c r="DQ20" s="39">
        <v>39.6</v>
      </c>
      <c r="DR20" s="39">
        <v>38.200000000000003</v>
      </c>
      <c r="DS20" s="39">
        <v>26.9</v>
      </c>
      <c r="DT20" s="39">
        <v>24.1</v>
      </c>
      <c r="DU20" s="39">
        <v>39.299999999999997</v>
      </c>
      <c r="DV20" s="39">
        <v>21.2</v>
      </c>
      <c r="DW20" s="45">
        <v>112</v>
      </c>
      <c r="DX20" s="45">
        <v>7</v>
      </c>
      <c r="DY20" s="15">
        <v>1</v>
      </c>
      <c r="DZ20" s="45">
        <v>7</v>
      </c>
      <c r="EA20" s="45">
        <v>19</v>
      </c>
      <c r="EB20" s="45">
        <v>5</v>
      </c>
      <c r="EC20" s="45">
        <v>3</v>
      </c>
      <c r="ED20" s="45">
        <v>3</v>
      </c>
      <c r="EE20" s="45">
        <v>5</v>
      </c>
      <c r="EF20" s="104">
        <v>789</v>
      </c>
      <c r="EG20" s="104">
        <v>764</v>
      </c>
      <c r="EH20" s="104">
        <v>739</v>
      </c>
      <c r="EI20" s="104">
        <v>686</v>
      </c>
      <c r="EJ20" s="174">
        <v>143</v>
      </c>
      <c r="EK20" s="174"/>
      <c r="EL20" s="174"/>
      <c r="EM20" s="174">
        <v>1</v>
      </c>
      <c r="EN20" s="174">
        <v>2</v>
      </c>
      <c r="EO20" s="39">
        <v>1296.951</v>
      </c>
      <c r="EP20" s="39">
        <v>1291.1949999999999</v>
      </c>
      <c r="EQ20" s="39">
        <v>1264.653</v>
      </c>
      <c r="ER20" s="39">
        <v>1187.982</v>
      </c>
      <c r="ES20" s="39">
        <v>706.17499999999995</v>
      </c>
      <c r="ET20" s="39">
        <v>662.79700000000003</v>
      </c>
      <c r="EU20" s="39">
        <v>670.45799999999997</v>
      </c>
      <c r="EV20" s="39">
        <v>638.81299999999999</v>
      </c>
      <c r="EW20" s="39">
        <v>872.13699999999994</v>
      </c>
      <c r="EX20" s="39">
        <v>785.89300000000003</v>
      </c>
      <c r="EY20" s="39">
        <v>833.74599999999998</v>
      </c>
      <c r="EZ20" s="39">
        <v>727.29899999999998</v>
      </c>
      <c r="FA20" s="39">
        <v>584.05899999999997</v>
      </c>
      <c r="FB20" s="39">
        <v>559.54</v>
      </c>
      <c r="FC20" s="39">
        <v>541.12099999999998</v>
      </c>
      <c r="FD20" s="39">
        <v>557.82299999999998</v>
      </c>
      <c r="FE20" s="44">
        <v>169</v>
      </c>
      <c r="FF20" s="44">
        <v>151</v>
      </c>
      <c r="FG20" s="44">
        <v>166</v>
      </c>
      <c r="FH20" s="44">
        <v>137</v>
      </c>
      <c r="FI20" s="39">
        <v>170.26400000000001</v>
      </c>
      <c r="FJ20" s="39">
        <v>157.494</v>
      </c>
      <c r="FK20" s="39">
        <v>163.572</v>
      </c>
      <c r="FL20" s="39">
        <v>137.47999999999999</v>
      </c>
      <c r="FM20" s="45">
        <v>255</v>
      </c>
      <c r="FN20" s="45">
        <v>228</v>
      </c>
      <c r="FO20" s="36">
        <v>199</v>
      </c>
      <c r="FP20" s="45">
        <v>195</v>
      </c>
      <c r="FQ20" s="39">
        <v>206.828</v>
      </c>
      <c r="FR20" s="39">
        <v>176.1</v>
      </c>
      <c r="FS20" s="39">
        <v>163.636</v>
      </c>
      <c r="FT20" s="39">
        <v>168.89400000000001</v>
      </c>
      <c r="FU20" s="43">
        <v>61</v>
      </c>
      <c r="FV20" s="43">
        <v>52</v>
      </c>
      <c r="FW20" s="43">
        <v>40</v>
      </c>
      <c r="FX20" s="45">
        <v>37</v>
      </c>
      <c r="FY20" s="39">
        <v>46.037999999999997</v>
      </c>
      <c r="FZ20" s="39">
        <v>41.134</v>
      </c>
      <c r="GA20" s="39">
        <v>29.510999999999999</v>
      </c>
      <c r="GB20" s="39">
        <v>30.559000000000001</v>
      </c>
      <c r="GC20" s="150">
        <v>37</v>
      </c>
      <c r="GD20" s="150">
        <v>36</v>
      </c>
      <c r="GE20" s="150">
        <v>25</v>
      </c>
      <c r="GF20" s="150">
        <v>32</v>
      </c>
      <c r="GG20" s="182">
        <v>49.756999999999998</v>
      </c>
      <c r="GH20" s="182">
        <v>44.718000000000004</v>
      </c>
      <c r="GI20" s="182">
        <v>30.608000000000001</v>
      </c>
      <c r="GJ20" s="182">
        <v>42.786999999999999</v>
      </c>
      <c r="GK20" s="182"/>
      <c r="GL20" s="114"/>
      <c r="GM20" s="114"/>
      <c r="GN20" s="114"/>
      <c r="GP20" s="114"/>
      <c r="GQ20" s="114"/>
      <c r="GR20" s="114"/>
      <c r="GS20" s="114"/>
      <c r="GU20" s="114"/>
      <c r="GV20" s="114"/>
      <c r="GW20" s="114"/>
      <c r="GX20" s="114"/>
      <c r="HE20" s="113"/>
      <c r="HF20" s="113"/>
      <c r="HG20" s="113"/>
      <c r="HH20" s="113"/>
      <c r="HI20" s="113"/>
      <c r="HJ20" s="115"/>
      <c r="HK20" s="115"/>
      <c r="HL20" s="114"/>
      <c r="HV20" s="116"/>
    </row>
    <row r="21" spans="1:230" x14ac:dyDescent="0.2">
      <c r="A21" s="128">
        <v>18</v>
      </c>
      <c r="B21" s="129" t="s">
        <v>64</v>
      </c>
      <c r="C21" s="117">
        <v>63208</v>
      </c>
      <c r="D21" s="117">
        <v>63265</v>
      </c>
      <c r="E21" s="117">
        <v>63428</v>
      </c>
      <c r="F21" s="117">
        <v>63940</v>
      </c>
      <c r="G21" s="151">
        <v>64424</v>
      </c>
      <c r="H21" s="155">
        <v>61646</v>
      </c>
      <c r="I21" s="155">
        <v>696</v>
      </c>
      <c r="J21" s="155">
        <v>684</v>
      </c>
      <c r="K21" s="155">
        <v>401</v>
      </c>
      <c r="L21" s="155">
        <v>997</v>
      </c>
      <c r="M21" s="40">
        <v>26399</v>
      </c>
      <c r="N21" s="40">
        <v>26484</v>
      </c>
      <c r="O21" s="40">
        <v>26577</v>
      </c>
      <c r="P21" s="106">
        <v>26877</v>
      </c>
      <c r="Q21" s="106">
        <v>27096</v>
      </c>
      <c r="R21" s="51">
        <v>32.9</v>
      </c>
      <c r="S21" s="51">
        <v>34.1</v>
      </c>
      <c r="T21" s="51">
        <v>35.116454969875591</v>
      </c>
      <c r="U21" s="51">
        <v>36.216413247240162</v>
      </c>
      <c r="V21" s="51">
        <v>36.649146881391914</v>
      </c>
      <c r="W21" s="38">
        <v>30.6</v>
      </c>
      <c r="X21" s="38">
        <v>30.6</v>
      </c>
      <c r="Y21" s="38">
        <v>30.31480660389661</v>
      </c>
      <c r="Z21" s="38">
        <v>30.259320974796918</v>
      </c>
      <c r="AA21" s="38">
        <v>30.153017631980944</v>
      </c>
      <c r="AB21" s="51">
        <v>63.5</v>
      </c>
      <c r="AC21" s="51">
        <v>64.7</v>
      </c>
      <c r="AD21" s="51">
        <v>65.431261573772204</v>
      </c>
      <c r="AE21" s="51">
        <v>66.475734222037076</v>
      </c>
      <c r="AF21" s="51">
        <v>66.802164513372858</v>
      </c>
      <c r="AG21" s="39">
        <v>6.7</v>
      </c>
      <c r="AH21" s="39">
        <v>5.7529449219993634</v>
      </c>
      <c r="AI21" s="39">
        <v>5.2276613260718126</v>
      </c>
      <c r="AJ21" s="39">
        <v>5.1428752054621318</v>
      </c>
      <c r="AK21" s="39">
        <v>4.6319995005930457</v>
      </c>
      <c r="AL21" s="43">
        <v>2982.8333333333335</v>
      </c>
      <c r="AM21" s="43">
        <v>2667.75</v>
      </c>
      <c r="AN21" s="43">
        <v>2449.3333333333335</v>
      </c>
      <c r="AO21" s="43">
        <v>2263.0833333333335</v>
      </c>
      <c r="AP21" s="43">
        <v>2185.5</v>
      </c>
      <c r="AQ21" s="190">
        <v>38683.095611657875</v>
      </c>
      <c r="AR21" s="190">
        <v>40666.826453336711</v>
      </c>
      <c r="AS21" s="190">
        <v>42120.254054309626</v>
      </c>
      <c r="AT21" s="190">
        <v>43144.000156396622</v>
      </c>
      <c r="AU21" s="190">
        <v>44053.1</v>
      </c>
      <c r="AV21" s="162">
        <v>49414.05</v>
      </c>
      <c r="AW21" s="162">
        <v>50607.44</v>
      </c>
      <c r="AX21" s="162">
        <v>52168.480000000003</v>
      </c>
      <c r="AY21" s="161">
        <v>52277.65</v>
      </c>
      <c r="AZ21" s="161">
        <v>54065</v>
      </c>
      <c r="BA21" s="49">
        <v>11.3</v>
      </c>
      <c r="BB21" s="49">
        <v>10.9</v>
      </c>
      <c r="BC21" s="49">
        <v>10.4</v>
      </c>
      <c r="BD21" s="49">
        <v>11</v>
      </c>
      <c r="BE21" s="49">
        <v>9.8000000000000007</v>
      </c>
      <c r="BF21" s="42">
        <v>16.399999999999999</v>
      </c>
      <c r="BG21" s="42">
        <v>16.3</v>
      </c>
      <c r="BH21" s="42">
        <v>14.9</v>
      </c>
      <c r="BI21" s="42">
        <v>15.2</v>
      </c>
      <c r="BJ21" s="42">
        <v>12.7</v>
      </c>
      <c r="BK21" s="36">
        <v>9581</v>
      </c>
      <c r="BL21" s="36">
        <v>9639</v>
      </c>
      <c r="BM21" s="36">
        <v>9508</v>
      </c>
      <c r="BN21" s="36">
        <v>9805</v>
      </c>
      <c r="BO21" s="40">
        <v>40.893434923285668</v>
      </c>
      <c r="BP21" s="40">
        <v>40.439879655565932</v>
      </c>
      <c r="BQ21" s="40">
        <v>38.146823727387464</v>
      </c>
      <c r="BR21" s="40">
        <v>37.470678225395204</v>
      </c>
      <c r="BS21" s="51">
        <v>5.2186619350798456E-2</v>
      </c>
      <c r="BT21" s="51">
        <v>6.2247121070650481E-2</v>
      </c>
      <c r="BU21" s="51">
        <v>5.2587294909549852E-2</v>
      </c>
      <c r="BV21" s="51">
        <v>0.12238653748087711</v>
      </c>
      <c r="BW21" s="39">
        <v>17.931322408934349</v>
      </c>
      <c r="BX21" s="39">
        <v>18.383649756198775</v>
      </c>
      <c r="BY21" s="39">
        <v>16.964661337820782</v>
      </c>
      <c r="BZ21" s="39">
        <v>20.163182049974505</v>
      </c>
      <c r="CA21" s="40">
        <v>84.051724137931032</v>
      </c>
      <c r="CB21" s="40">
        <v>82.414307004470942</v>
      </c>
      <c r="CC21" s="40">
        <v>81.41</v>
      </c>
      <c r="CD21" s="40">
        <v>85.14</v>
      </c>
      <c r="CE21" s="40">
        <v>5.8908045977011492</v>
      </c>
      <c r="CF21" s="40">
        <v>6.9940476190476186</v>
      </c>
      <c r="CG21" s="40">
        <v>5.83</v>
      </c>
      <c r="CH21" s="40">
        <v>5.29</v>
      </c>
      <c r="CI21" s="105">
        <v>3405</v>
      </c>
      <c r="CJ21" s="105">
        <v>3872</v>
      </c>
      <c r="CK21" s="104">
        <v>3786</v>
      </c>
      <c r="CL21" s="104">
        <v>3498</v>
      </c>
      <c r="CM21" s="39">
        <v>12.504223159069877</v>
      </c>
      <c r="CN21" s="39">
        <v>15.999669428317597</v>
      </c>
      <c r="CO21" s="39">
        <v>12.09430104778942</v>
      </c>
      <c r="CP21" s="39">
        <v>10.990840965861782</v>
      </c>
      <c r="CQ21" s="104">
        <v>153</v>
      </c>
      <c r="CR21" s="104">
        <v>195</v>
      </c>
      <c r="CS21" s="104">
        <v>162</v>
      </c>
      <c r="CT21" s="104">
        <v>159</v>
      </c>
      <c r="CU21" s="39">
        <v>4.5999999999999996</v>
      </c>
      <c r="CV21" s="39">
        <v>5.2</v>
      </c>
      <c r="CW21" s="39">
        <v>4.4000000000000004</v>
      </c>
      <c r="CX21" s="39">
        <v>4.7</v>
      </c>
      <c r="CY21" s="36">
        <v>261</v>
      </c>
      <c r="CZ21" s="104">
        <v>321</v>
      </c>
      <c r="DA21" s="104">
        <v>243</v>
      </c>
      <c r="DB21" s="104">
        <v>272</v>
      </c>
      <c r="DC21" s="39">
        <v>8</v>
      </c>
      <c r="DD21" s="39">
        <v>8.6999999999999993</v>
      </c>
      <c r="DE21" s="39">
        <v>6.7</v>
      </c>
      <c r="DF21" s="39">
        <v>8</v>
      </c>
      <c r="DG21" s="39">
        <v>87.2</v>
      </c>
      <c r="DH21" s="39">
        <v>85.7</v>
      </c>
      <c r="DI21" s="39">
        <v>85.2</v>
      </c>
      <c r="DJ21" s="39">
        <v>88.8</v>
      </c>
      <c r="DK21" s="39">
        <v>23.4</v>
      </c>
      <c r="DL21" s="39">
        <v>22</v>
      </c>
      <c r="DM21" s="39">
        <v>20.9</v>
      </c>
      <c r="DN21" s="39">
        <v>20.5</v>
      </c>
      <c r="DO21" s="39">
        <v>29.5</v>
      </c>
      <c r="DP21" s="39">
        <v>34.9</v>
      </c>
      <c r="DQ21" s="39">
        <v>39.1</v>
      </c>
      <c r="DR21" s="39">
        <v>39.4</v>
      </c>
      <c r="DS21" s="39">
        <v>34.9</v>
      </c>
      <c r="DT21" s="39">
        <v>36.200000000000003</v>
      </c>
      <c r="DU21" s="39">
        <v>31.1</v>
      </c>
      <c r="DV21" s="39">
        <v>22.6</v>
      </c>
      <c r="DW21" s="45">
        <v>624</v>
      </c>
      <c r="DX21" s="45">
        <v>7</v>
      </c>
      <c r="DY21" s="15">
        <v>15</v>
      </c>
      <c r="DZ21" s="45">
        <v>3</v>
      </c>
      <c r="EA21" s="45">
        <v>10</v>
      </c>
      <c r="EB21" s="45">
        <v>17</v>
      </c>
      <c r="EC21" s="45">
        <v>22</v>
      </c>
      <c r="ED21" s="45">
        <v>14</v>
      </c>
      <c r="EE21" s="45">
        <v>15</v>
      </c>
      <c r="EF21" s="104">
        <v>2560</v>
      </c>
      <c r="EG21" s="104">
        <v>2690</v>
      </c>
      <c r="EH21" s="104">
        <v>2987</v>
      </c>
      <c r="EI21" s="104">
        <v>3353</v>
      </c>
      <c r="EJ21" s="174">
        <v>705</v>
      </c>
      <c r="EK21" s="174">
        <v>1</v>
      </c>
      <c r="EL21" s="174">
        <v>6</v>
      </c>
      <c r="EM21" s="174">
        <v>1</v>
      </c>
      <c r="EN21" s="174">
        <v>1</v>
      </c>
      <c r="EO21" s="39">
        <v>929.23599999999999</v>
      </c>
      <c r="EP21" s="39">
        <v>897.90899999999999</v>
      </c>
      <c r="EQ21" s="39">
        <v>955.84</v>
      </c>
      <c r="ER21" s="39">
        <v>1057.2619999999999</v>
      </c>
      <c r="ES21" s="39">
        <v>733.16499999999996</v>
      </c>
      <c r="ET21" s="39">
        <v>666.471</v>
      </c>
      <c r="EU21" s="39">
        <v>681.82</v>
      </c>
      <c r="EV21" s="39">
        <v>699.26400000000001</v>
      </c>
      <c r="EW21" s="39">
        <v>889.9</v>
      </c>
      <c r="EX21" s="39">
        <v>795.71199999999999</v>
      </c>
      <c r="EY21" s="39">
        <v>791.11800000000005</v>
      </c>
      <c r="EZ21" s="39">
        <v>835.61</v>
      </c>
      <c r="FA21" s="39">
        <v>614.26499999999999</v>
      </c>
      <c r="FB21" s="39">
        <v>559.32000000000005</v>
      </c>
      <c r="FC21" s="39">
        <v>584.28300000000002</v>
      </c>
      <c r="FD21" s="39">
        <v>574.76800000000003</v>
      </c>
      <c r="FE21" s="44">
        <v>628</v>
      </c>
      <c r="FF21" s="44">
        <v>701</v>
      </c>
      <c r="FG21" s="44">
        <v>783</v>
      </c>
      <c r="FH21" s="44">
        <v>786</v>
      </c>
      <c r="FI21" s="39">
        <v>177.11199999999999</v>
      </c>
      <c r="FJ21" s="39">
        <v>178.893</v>
      </c>
      <c r="FK21" s="39">
        <v>177.74700000000001</v>
      </c>
      <c r="FL21" s="39">
        <v>162.161</v>
      </c>
      <c r="FM21" s="45">
        <v>705</v>
      </c>
      <c r="FN21" s="45">
        <v>573</v>
      </c>
      <c r="FO21" s="36">
        <v>598</v>
      </c>
      <c r="FP21" s="45">
        <v>582</v>
      </c>
      <c r="FQ21" s="39">
        <v>197.995</v>
      </c>
      <c r="FR21" s="39">
        <v>136.13200000000001</v>
      </c>
      <c r="FS21" s="39">
        <v>132.79</v>
      </c>
      <c r="FT21" s="39">
        <v>117.90900000000001</v>
      </c>
      <c r="FU21" s="43">
        <v>173</v>
      </c>
      <c r="FV21" s="43">
        <v>189</v>
      </c>
      <c r="FW21" s="43">
        <v>154</v>
      </c>
      <c r="FX21" s="45">
        <v>165</v>
      </c>
      <c r="FY21" s="39">
        <v>47.744999999999997</v>
      </c>
      <c r="FZ21" s="39">
        <v>43.32</v>
      </c>
      <c r="GA21" s="39">
        <v>34.237000000000002</v>
      </c>
      <c r="GB21" s="39">
        <v>31.981999999999999</v>
      </c>
      <c r="GC21" s="150">
        <v>147</v>
      </c>
      <c r="GD21" s="150">
        <v>160</v>
      </c>
      <c r="GE21" s="150">
        <v>145</v>
      </c>
      <c r="GF21" s="150">
        <v>201</v>
      </c>
      <c r="GG21" s="182">
        <v>49.234000000000002</v>
      </c>
      <c r="GH21" s="182">
        <v>44.063000000000002</v>
      </c>
      <c r="GI21" s="182">
        <v>37.534999999999997</v>
      </c>
      <c r="GJ21" s="182">
        <v>51.73</v>
      </c>
      <c r="GK21" s="182"/>
      <c r="GL21" s="114"/>
      <c r="GM21" s="114"/>
      <c r="GN21" s="114"/>
      <c r="GP21" s="114"/>
      <c r="GQ21" s="114"/>
      <c r="GR21" s="114"/>
      <c r="GS21" s="114"/>
      <c r="GU21" s="114"/>
      <c r="GV21" s="114"/>
      <c r="GW21" s="114"/>
      <c r="GX21" s="114"/>
      <c r="HE21" s="113"/>
      <c r="HF21" s="113"/>
      <c r="HG21" s="113"/>
      <c r="HH21" s="113"/>
      <c r="HI21" s="113"/>
      <c r="HJ21" s="115"/>
      <c r="HK21" s="115"/>
      <c r="HL21" s="114"/>
      <c r="HV21" s="116"/>
    </row>
    <row r="22" spans="1:230" x14ac:dyDescent="0.2">
      <c r="A22" s="128">
        <v>19</v>
      </c>
      <c r="B22" s="129" t="s">
        <v>65</v>
      </c>
      <c r="C22" s="117">
        <v>408509</v>
      </c>
      <c r="D22" s="117">
        <v>412529</v>
      </c>
      <c r="E22" s="117">
        <v>414686</v>
      </c>
      <c r="F22" s="117">
        <v>417486</v>
      </c>
      <c r="G22" s="151">
        <v>421751</v>
      </c>
      <c r="H22" s="155">
        <v>336693</v>
      </c>
      <c r="I22" s="155">
        <v>30405</v>
      </c>
      <c r="J22" s="155">
        <v>1883</v>
      </c>
      <c r="K22" s="155">
        <v>22865</v>
      </c>
      <c r="L22" s="155">
        <v>29905</v>
      </c>
      <c r="M22" s="40">
        <v>156459</v>
      </c>
      <c r="N22" s="40">
        <v>157319</v>
      </c>
      <c r="O22" s="40">
        <v>159189</v>
      </c>
      <c r="P22" s="106">
        <v>160890</v>
      </c>
      <c r="Q22" s="106">
        <v>162422</v>
      </c>
      <c r="R22" s="51">
        <v>17.2</v>
      </c>
      <c r="S22" s="51">
        <v>18</v>
      </c>
      <c r="T22" s="51">
        <v>18.92883557319383</v>
      </c>
      <c r="U22" s="51">
        <v>19.858514218924174</v>
      </c>
      <c r="V22" s="51">
        <v>20.609083466195543</v>
      </c>
      <c r="W22" s="38">
        <v>30.8</v>
      </c>
      <c r="X22" s="38">
        <v>30.8</v>
      </c>
      <c r="Y22" s="38">
        <v>30.682781636150448</v>
      </c>
      <c r="Z22" s="38">
        <v>30.749167571545556</v>
      </c>
      <c r="AA22" s="38">
        <v>30.836241938495569</v>
      </c>
      <c r="AB22" s="51">
        <v>48.1</v>
      </c>
      <c r="AC22" s="51">
        <v>48.8</v>
      </c>
      <c r="AD22" s="51">
        <v>49.611617209344274</v>
      </c>
      <c r="AE22" s="51">
        <v>50.607681790469726</v>
      </c>
      <c r="AF22" s="51">
        <v>51.445325404691111</v>
      </c>
      <c r="AG22" s="39">
        <v>4.7</v>
      </c>
      <c r="AH22" s="39">
        <v>3.6935043185124115</v>
      </c>
      <c r="AI22" s="39">
        <v>3.2885209345243438</v>
      </c>
      <c r="AJ22" s="39">
        <v>3.4227626584314481</v>
      </c>
      <c r="AK22" s="39">
        <v>3.1332700434347931</v>
      </c>
      <c r="AL22" s="43">
        <v>11538.583333333334</v>
      </c>
      <c r="AM22" s="43">
        <v>10984.666666666666</v>
      </c>
      <c r="AN22" s="43">
        <v>10294.75</v>
      </c>
      <c r="AO22" s="43">
        <v>9875.5833333333339</v>
      </c>
      <c r="AP22" s="43">
        <v>9450.6666666666661</v>
      </c>
      <c r="AQ22" s="190">
        <v>52056.836030767648</v>
      </c>
      <c r="AR22" s="190">
        <v>53736.901152728664</v>
      </c>
      <c r="AS22" s="190">
        <v>55850.368936444451</v>
      </c>
      <c r="AT22" s="190">
        <v>56624.64017955093</v>
      </c>
      <c r="AU22" s="190">
        <v>59367.14</v>
      </c>
      <c r="AV22" s="162">
        <v>75152.7</v>
      </c>
      <c r="AW22" s="162">
        <v>76786.320000000007</v>
      </c>
      <c r="AX22" s="162">
        <v>79319.760000000009</v>
      </c>
      <c r="AY22" s="161">
        <v>79903.28</v>
      </c>
      <c r="AZ22" s="161">
        <v>81004</v>
      </c>
      <c r="BA22" s="49">
        <v>8.4</v>
      </c>
      <c r="BB22" s="49">
        <v>7.3</v>
      </c>
      <c r="BC22" s="49">
        <v>7.1</v>
      </c>
      <c r="BD22" s="49">
        <v>5.6</v>
      </c>
      <c r="BE22" s="49">
        <v>5.8</v>
      </c>
      <c r="BF22" s="42">
        <v>10</v>
      </c>
      <c r="BG22" s="42">
        <v>9.6</v>
      </c>
      <c r="BH22" s="42">
        <v>9.1</v>
      </c>
      <c r="BI22" s="42">
        <v>7.2</v>
      </c>
      <c r="BJ22" s="42">
        <v>6.5</v>
      </c>
      <c r="BK22" s="36">
        <v>74448</v>
      </c>
      <c r="BL22" s="36">
        <v>74511</v>
      </c>
      <c r="BM22" s="36">
        <v>73143</v>
      </c>
      <c r="BN22" s="36">
        <v>73641</v>
      </c>
      <c r="BO22" s="40">
        <v>27.814044702342574</v>
      </c>
      <c r="BP22" s="40">
        <v>28.124706419186428</v>
      </c>
      <c r="BQ22" s="40">
        <v>28.073773293411538</v>
      </c>
      <c r="BR22" s="40">
        <v>26.85867926834236</v>
      </c>
      <c r="BS22" s="51">
        <v>6.9498173221577479</v>
      </c>
      <c r="BT22" s="51">
        <v>6.828521963200064</v>
      </c>
      <c r="BU22" s="51">
        <v>6.7962757885238503</v>
      </c>
      <c r="BV22" s="51">
        <v>6.6851346396708351</v>
      </c>
      <c r="BW22" s="39">
        <v>15.029282183537502</v>
      </c>
      <c r="BX22" s="39">
        <v>15.007180147897627</v>
      </c>
      <c r="BY22" s="39">
        <v>13.6882545151279</v>
      </c>
      <c r="BZ22" s="39">
        <v>15.624448337203459</v>
      </c>
      <c r="CA22" s="40">
        <v>86.597938144329902</v>
      </c>
      <c r="CB22" s="40">
        <v>86.822916666666671</v>
      </c>
      <c r="CC22" s="40">
        <v>85.03</v>
      </c>
      <c r="CD22" s="40">
        <v>86.08</v>
      </c>
      <c r="CE22" s="40">
        <v>2.6559496767429671</v>
      </c>
      <c r="CF22" s="40">
        <v>3.5310488780657505</v>
      </c>
      <c r="CG22" s="40">
        <v>3.34</v>
      </c>
      <c r="CH22" s="40">
        <v>3.15</v>
      </c>
      <c r="CI22" s="105">
        <v>26471</v>
      </c>
      <c r="CJ22" s="105">
        <v>27621</v>
      </c>
      <c r="CK22" s="104">
        <v>26563</v>
      </c>
      <c r="CL22" s="104">
        <v>26196</v>
      </c>
      <c r="CM22" s="39">
        <v>14.868391342395951</v>
      </c>
      <c r="CN22" s="39">
        <v>17.922574943434327</v>
      </c>
      <c r="CO22" s="39">
        <v>13.315447733997827</v>
      </c>
      <c r="CP22" s="39">
        <v>12.624815598943789</v>
      </c>
      <c r="CQ22" s="104">
        <v>1002</v>
      </c>
      <c r="CR22" s="104">
        <v>1151</v>
      </c>
      <c r="CS22" s="104">
        <v>1165</v>
      </c>
      <c r="CT22" s="104">
        <v>1208</v>
      </c>
      <c r="CU22" s="39">
        <v>3.9</v>
      </c>
      <c r="CV22" s="39">
        <v>4.3</v>
      </c>
      <c r="CW22" s="39">
        <v>4.5999999999999996</v>
      </c>
      <c r="CX22" s="39">
        <v>4.8</v>
      </c>
      <c r="CY22" s="45">
        <v>1592</v>
      </c>
      <c r="CZ22" s="104">
        <v>1798</v>
      </c>
      <c r="DA22" s="104">
        <v>1696</v>
      </c>
      <c r="DB22" s="104">
        <v>1749</v>
      </c>
      <c r="DC22" s="39">
        <v>7</v>
      </c>
      <c r="DD22" s="39">
        <v>7.6</v>
      </c>
      <c r="DE22" s="39">
        <v>7</v>
      </c>
      <c r="DF22" s="39">
        <v>6.9</v>
      </c>
      <c r="DG22" s="39">
        <v>87.8</v>
      </c>
      <c r="DH22" s="39">
        <v>89</v>
      </c>
      <c r="DI22" s="39">
        <v>86.1</v>
      </c>
      <c r="DJ22" s="39">
        <v>83.3</v>
      </c>
      <c r="DK22" s="39">
        <v>6.8</v>
      </c>
      <c r="DL22" s="39">
        <v>5.4</v>
      </c>
      <c r="DM22" s="39">
        <v>6.6</v>
      </c>
      <c r="DN22" s="39">
        <v>5.5</v>
      </c>
      <c r="DO22" s="39">
        <v>18.8</v>
      </c>
      <c r="DP22" s="39">
        <v>23.6</v>
      </c>
      <c r="DQ22" s="39">
        <v>27.7</v>
      </c>
      <c r="DR22" s="39">
        <v>26.9</v>
      </c>
      <c r="DS22" s="39">
        <v>21.2</v>
      </c>
      <c r="DT22" s="39">
        <v>19.3</v>
      </c>
      <c r="DU22" s="39">
        <v>15.8</v>
      </c>
      <c r="DV22" s="39">
        <v>9.6999999999999993</v>
      </c>
      <c r="DW22" s="45">
        <v>3593</v>
      </c>
      <c r="DX22" s="45">
        <v>630</v>
      </c>
      <c r="DY22" s="15">
        <v>22</v>
      </c>
      <c r="DZ22" s="45">
        <v>370</v>
      </c>
      <c r="EA22" s="45">
        <v>497</v>
      </c>
      <c r="EB22" s="45">
        <v>116</v>
      </c>
      <c r="EC22" s="45">
        <v>138</v>
      </c>
      <c r="ED22" s="45">
        <v>88</v>
      </c>
      <c r="EE22" s="45">
        <v>121</v>
      </c>
      <c r="EF22" s="104">
        <v>8081</v>
      </c>
      <c r="EG22" s="104">
        <v>9284</v>
      </c>
      <c r="EH22" s="104">
        <v>10484</v>
      </c>
      <c r="EI22" s="104">
        <v>12302</v>
      </c>
      <c r="EJ22" s="174">
        <v>2405</v>
      </c>
      <c r="EK22" s="174">
        <v>76</v>
      </c>
      <c r="EL22" s="174">
        <v>11</v>
      </c>
      <c r="EM22" s="174">
        <v>52</v>
      </c>
      <c r="EN22" s="174">
        <v>47</v>
      </c>
      <c r="EO22" s="39">
        <v>454.11099999999999</v>
      </c>
      <c r="EP22" s="39">
        <v>484.05599999999998</v>
      </c>
      <c r="EQ22" s="39">
        <v>526.10400000000004</v>
      </c>
      <c r="ER22" s="39">
        <v>593.31600000000003</v>
      </c>
      <c r="ES22" s="39">
        <v>724.81299999999999</v>
      </c>
      <c r="ET22" s="39">
        <v>688.04600000000005</v>
      </c>
      <c r="EU22" s="39">
        <v>617.13499999999999</v>
      </c>
      <c r="EV22" s="39">
        <v>587.78899999999999</v>
      </c>
      <c r="EW22" s="39">
        <v>868.29499999999996</v>
      </c>
      <c r="EX22" s="39">
        <v>773.67499999999995</v>
      </c>
      <c r="EY22" s="39">
        <v>718.76099999999997</v>
      </c>
      <c r="EZ22" s="39">
        <v>676.56200000000001</v>
      </c>
      <c r="FA22" s="39">
        <v>628.02099999999996</v>
      </c>
      <c r="FB22" s="39">
        <v>619.65599999999995</v>
      </c>
      <c r="FC22" s="39">
        <v>538.75800000000004</v>
      </c>
      <c r="FD22" s="39">
        <v>514.56600000000003</v>
      </c>
      <c r="FE22" s="44">
        <v>2167</v>
      </c>
      <c r="FF22" s="44">
        <v>2546</v>
      </c>
      <c r="FG22" s="44">
        <v>2759</v>
      </c>
      <c r="FH22" s="44">
        <v>3081</v>
      </c>
      <c r="FI22" s="39">
        <v>183.83699999999999</v>
      </c>
      <c r="FJ22" s="39">
        <v>179.96600000000001</v>
      </c>
      <c r="FK22" s="39">
        <v>156.07300000000001</v>
      </c>
      <c r="FL22" s="39">
        <v>144.03200000000001</v>
      </c>
      <c r="FM22" s="45">
        <v>1665</v>
      </c>
      <c r="FN22" s="45">
        <v>1686</v>
      </c>
      <c r="FO22" s="45">
        <v>1730</v>
      </c>
      <c r="FP22" s="45">
        <v>1986</v>
      </c>
      <c r="FQ22" s="39">
        <v>156.98599999999999</v>
      </c>
      <c r="FR22" s="39">
        <v>129.78299999999999</v>
      </c>
      <c r="FS22" s="39">
        <v>104.04900000000001</v>
      </c>
      <c r="FT22" s="39">
        <v>94.313999999999993</v>
      </c>
      <c r="FU22" s="43">
        <v>584</v>
      </c>
      <c r="FV22" s="43">
        <v>581</v>
      </c>
      <c r="FW22" s="43">
        <v>531</v>
      </c>
      <c r="FX22" s="45">
        <v>642</v>
      </c>
      <c r="FY22" s="39">
        <v>57.654000000000003</v>
      </c>
      <c r="FZ22" s="39">
        <v>46.183999999999997</v>
      </c>
      <c r="GA22" s="39">
        <v>32.276000000000003</v>
      </c>
      <c r="GB22" s="39">
        <v>31.39</v>
      </c>
      <c r="GC22" s="150">
        <v>399</v>
      </c>
      <c r="GD22" s="150">
        <v>458</v>
      </c>
      <c r="GE22" s="150">
        <v>661</v>
      </c>
      <c r="GF22" s="150">
        <v>821</v>
      </c>
      <c r="GG22" s="182">
        <v>30.07</v>
      </c>
      <c r="GH22" s="182">
        <v>29.870999999999999</v>
      </c>
      <c r="GI22" s="182">
        <v>37.073</v>
      </c>
      <c r="GJ22" s="182">
        <v>39.573999999999998</v>
      </c>
      <c r="GK22" s="182"/>
      <c r="GL22" s="114"/>
      <c r="GM22" s="114"/>
      <c r="GN22" s="114"/>
      <c r="GP22" s="114"/>
      <c r="GQ22" s="114"/>
      <c r="GR22" s="114"/>
      <c r="GS22" s="114"/>
      <c r="GU22" s="114"/>
      <c r="GV22" s="114"/>
      <c r="GW22" s="114"/>
      <c r="GX22" s="114"/>
      <c r="HE22" s="113"/>
      <c r="HF22" s="113"/>
      <c r="HG22" s="113"/>
      <c r="HH22" s="113"/>
      <c r="HI22" s="113"/>
      <c r="HJ22" s="115"/>
      <c r="HK22" s="115"/>
      <c r="HL22" s="114"/>
      <c r="HV22" s="116"/>
    </row>
    <row r="23" spans="1:230" x14ac:dyDescent="0.2">
      <c r="A23" s="128">
        <v>20</v>
      </c>
      <c r="B23" s="129" t="s">
        <v>66</v>
      </c>
      <c r="C23" s="117">
        <v>20349</v>
      </c>
      <c r="D23" s="117">
        <v>20353</v>
      </c>
      <c r="E23" s="117">
        <v>20364</v>
      </c>
      <c r="F23" s="117">
        <v>20506</v>
      </c>
      <c r="G23" s="151">
        <v>20762</v>
      </c>
      <c r="H23" s="155">
        <v>19283</v>
      </c>
      <c r="I23" s="155">
        <v>176</v>
      </c>
      <c r="J23" s="155">
        <v>71</v>
      </c>
      <c r="K23" s="155">
        <v>170</v>
      </c>
      <c r="L23" s="155">
        <v>1062</v>
      </c>
      <c r="M23" s="40">
        <v>7572</v>
      </c>
      <c r="N23" s="40">
        <v>7586</v>
      </c>
      <c r="O23" s="40">
        <v>7611</v>
      </c>
      <c r="P23" s="106">
        <v>7674</v>
      </c>
      <c r="Q23" s="106">
        <v>7770</v>
      </c>
      <c r="R23" s="51">
        <v>20.2</v>
      </c>
      <c r="S23" s="51">
        <v>20.5</v>
      </c>
      <c r="T23" s="51">
        <v>20.731614571450301</v>
      </c>
      <c r="U23" s="51">
        <v>21.400394477317555</v>
      </c>
      <c r="V23" s="51">
        <v>22.411720510894064</v>
      </c>
      <c r="W23" s="38">
        <v>35.799999999999997</v>
      </c>
      <c r="X23" s="38">
        <v>35</v>
      </c>
      <c r="Y23" s="38">
        <v>34.139478287322227</v>
      </c>
      <c r="Z23" s="38">
        <v>34.160218479745112</v>
      </c>
      <c r="AA23" s="38">
        <v>33.576258452291505</v>
      </c>
      <c r="AB23" s="51">
        <v>56</v>
      </c>
      <c r="AC23" s="51">
        <v>55.5</v>
      </c>
      <c r="AD23" s="51">
        <v>54.871092858772528</v>
      </c>
      <c r="AE23" s="51">
        <v>55.560612957062659</v>
      </c>
      <c r="AF23" s="51">
        <v>55.987978963185569</v>
      </c>
      <c r="AG23" s="39">
        <v>5</v>
      </c>
      <c r="AH23" s="39">
        <v>4.0704362445801259</v>
      </c>
      <c r="AI23" s="39">
        <v>3.6930580959846706</v>
      </c>
      <c r="AJ23" s="39">
        <v>3.7563186334321075</v>
      </c>
      <c r="AK23" s="39">
        <v>3.5497309494879365</v>
      </c>
      <c r="AL23" s="43">
        <v>678</v>
      </c>
      <c r="AM23" s="43">
        <v>635.16666666666663</v>
      </c>
      <c r="AN23" s="43"/>
      <c r="AO23" s="43"/>
      <c r="AQ23" s="190">
        <v>44215.782219159206</v>
      </c>
      <c r="AR23" s="190">
        <v>43048.89631449632</v>
      </c>
      <c r="AS23" s="190">
        <v>43971.420440606445</v>
      </c>
      <c r="AT23" s="190">
        <v>44057.74017360773</v>
      </c>
      <c r="AU23" s="190">
        <v>43962.46</v>
      </c>
      <c r="AV23" s="162">
        <v>68825.400000000009</v>
      </c>
      <c r="AW23" s="162">
        <v>76750.960000000006</v>
      </c>
      <c r="AX23" s="162">
        <v>71528.08</v>
      </c>
      <c r="AY23" s="161">
        <v>67458.820000000007</v>
      </c>
      <c r="AZ23" s="161">
        <v>70431</v>
      </c>
      <c r="BA23" s="49">
        <v>7.3</v>
      </c>
      <c r="BB23" s="49">
        <v>7.6</v>
      </c>
      <c r="BC23" s="49">
        <v>6.9</v>
      </c>
      <c r="BD23" s="49">
        <v>7.7</v>
      </c>
      <c r="BE23" s="49">
        <v>5.8</v>
      </c>
      <c r="BF23" s="42">
        <v>9.6</v>
      </c>
      <c r="BG23" s="42">
        <v>10.199999999999999</v>
      </c>
      <c r="BH23" s="42">
        <v>8.6</v>
      </c>
      <c r="BI23" s="42">
        <v>8.1</v>
      </c>
      <c r="BJ23" s="42">
        <v>6.5</v>
      </c>
      <c r="BK23" s="36">
        <v>4046</v>
      </c>
      <c r="BL23" s="36">
        <v>3991</v>
      </c>
      <c r="BM23" s="36">
        <v>3893</v>
      </c>
      <c r="BN23" s="36">
        <v>3979</v>
      </c>
      <c r="BO23" s="40">
        <v>26.643598615916954</v>
      </c>
      <c r="BP23" s="40">
        <v>25.382109746930595</v>
      </c>
      <c r="BQ23" s="40">
        <v>24.890829694323145</v>
      </c>
      <c r="BR23" s="40">
        <v>25.031414928373962</v>
      </c>
      <c r="BS23" s="51">
        <v>2.422145328719723</v>
      </c>
      <c r="BT23" s="51">
        <v>2.7060886995740416</v>
      </c>
      <c r="BU23" s="51">
        <v>2.6457744669920369</v>
      </c>
      <c r="BV23" s="51">
        <v>2.8147775823071126</v>
      </c>
      <c r="BW23" s="39">
        <v>11.492832427088482</v>
      </c>
      <c r="BX23" s="39">
        <v>12.302681032322726</v>
      </c>
      <c r="BY23" s="39">
        <v>11.764705882352942</v>
      </c>
      <c r="BZ23" s="39">
        <v>14.249811510429755</v>
      </c>
      <c r="CA23" s="40">
        <v>94.117647058823522</v>
      </c>
      <c r="CB23" s="40">
        <v>93.906810035842298</v>
      </c>
      <c r="CC23" s="40">
        <v>95.47</v>
      </c>
      <c r="CD23" s="40">
        <v>96.56</v>
      </c>
      <c r="CE23" s="40">
        <v>2.0761245674740483</v>
      </c>
      <c r="CF23" s="40">
        <v>0.35971223021582732</v>
      </c>
      <c r="CG23" s="40">
        <v>2.88</v>
      </c>
      <c r="CH23" s="40">
        <v>1.53</v>
      </c>
      <c r="CI23" s="105">
        <v>1285</v>
      </c>
      <c r="CJ23" s="105">
        <v>1431</v>
      </c>
      <c r="CK23" s="104">
        <v>1338</v>
      </c>
      <c r="CL23" s="104">
        <v>1235</v>
      </c>
      <c r="CM23" s="39">
        <v>14.426369382416668</v>
      </c>
      <c r="CN23" s="39">
        <v>18.2823998364677</v>
      </c>
      <c r="CO23" s="39">
        <v>13.368770233004275</v>
      </c>
      <c r="CP23" s="39">
        <v>12.068325287783143</v>
      </c>
      <c r="CQ23" s="104">
        <v>59</v>
      </c>
      <c r="CR23" s="104">
        <v>56</v>
      </c>
      <c r="CS23" s="104">
        <v>60</v>
      </c>
      <c r="CT23" s="104">
        <v>50</v>
      </c>
      <c r="CU23" s="39">
        <v>4.8</v>
      </c>
      <c r="CV23" s="39">
        <v>4.0999999999999996</v>
      </c>
      <c r="CW23" s="39">
        <v>4.5999999999999996</v>
      </c>
      <c r="CX23" s="39">
        <v>4.2</v>
      </c>
      <c r="CY23" s="36">
        <v>102</v>
      </c>
      <c r="CZ23" s="104">
        <v>103</v>
      </c>
      <c r="DA23" s="104">
        <v>99</v>
      </c>
      <c r="DB23" s="104">
        <v>75</v>
      </c>
      <c r="DC23" s="39">
        <v>9.3000000000000007</v>
      </c>
      <c r="DD23" s="39">
        <v>7.8</v>
      </c>
      <c r="DE23" s="39">
        <v>7.8</v>
      </c>
      <c r="DF23" s="39">
        <v>6.3</v>
      </c>
      <c r="DG23" s="39">
        <v>88.6</v>
      </c>
      <c r="DH23" s="39">
        <v>92.5</v>
      </c>
      <c r="DI23" s="39">
        <v>90.8</v>
      </c>
      <c r="DJ23" s="39">
        <v>84.7</v>
      </c>
      <c r="DK23" s="39">
        <v>11.5</v>
      </c>
      <c r="DL23" s="39">
        <v>9.5</v>
      </c>
      <c r="DM23" s="39">
        <v>10.3</v>
      </c>
      <c r="DN23" s="39">
        <v>14</v>
      </c>
      <c r="DO23" s="39">
        <v>21.4</v>
      </c>
      <c r="DP23" s="39">
        <v>23.7</v>
      </c>
      <c r="DQ23" s="39">
        <v>29.8</v>
      </c>
      <c r="DR23" s="39">
        <v>33.200000000000003</v>
      </c>
      <c r="DS23" s="39">
        <v>29.4</v>
      </c>
      <c r="DT23" s="39">
        <v>24.5</v>
      </c>
      <c r="DU23" s="39">
        <v>21.1</v>
      </c>
      <c r="DV23" s="39">
        <v>11.4</v>
      </c>
      <c r="DW23" s="45">
        <v>206</v>
      </c>
      <c r="DX23" s="45">
        <v>1</v>
      </c>
      <c r="DY23" s="15">
        <v>2</v>
      </c>
      <c r="DZ23" s="45">
        <v>4</v>
      </c>
      <c r="EA23" s="45">
        <v>16</v>
      </c>
      <c r="EB23" s="45">
        <v>10</v>
      </c>
      <c r="EC23" s="45">
        <v>9</v>
      </c>
      <c r="ED23" s="45">
        <v>6</v>
      </c>
      <c r="EE23" s="45">
        <v>4</v>
      </c>
      <c r="EF23" s="104">
        <v>636</v>
      </c>
      <c r="EG23" s="104">
        <v>610</v>
      </c>
      <c r="EH23" s="104">
        <v>671</v>
      </c>
      <c r="EI23" s="104">
        <v>745</v>
      </c>
      <c r="EJ23" s="174">
        <v>168</v>
      </c>
      <c r="EK23" s="174"/>
      <c r="EL23" s="174"/>
      <c r="EM23" s="174">
        <v>2</v>
      </c>
      <c r="EN23" s="174">
        <v>1</v>
      </c>
      <c r="EO23" s="39">
        <v>717.38800000000003</v>
      </c>
      <c r="EP23" s="39">
        <v>622.60799999999995</v>
      </c>
      <c r="EQ23" s="39">
        <v>668.09400000000005</v>
      </c>
      <c r="ER23" s="39">
        <v>731.68299999999999</v>
      </c>
      <c r="ES23" s="39">
        <v>702.31100000000004</v>
      </c>
      <c r="ET23" s="39">
        <v>616.26599999999996</v>
      </c>
      <c r="EU23" s="39">
        <v>631.07399999999996</v>
      </c>
      <c r="EV23" s="39">
        <v>648.12400000000002</v>
      </c>
      <c r="EW23" s="39">
        <v>864.13900000000001</v>
      </c>
      <c r="EX23" s="39">
        <v>744</v>
      </c>
      <c r="EY23" s="39">
        <v>746.37300000000005</v>
      </c>
      <c r="EZ23" s="39">
        <v>793.27</v>
      </c>
      <c r="FA23" s="39">
        <v>586.69799999999998</v>
      </c>
      <c r="FB23" s="39">
        <v>497.65699999999998</v>
      </c>
      <c r="FC23" s="39">
        <v>535.19299999999998</v>
      </c>
      <c r="FD23" s="39">
        <v>529.07899999999995</v>
      </c>
      <c r="FE23" s="44">
        <v>129</v>
      </c>
      <c r="FF23" s="44">
        <v>147</v>
      </c>
      <c r="FG23" s="44">
        <v>164</v>
      </c>
      <c r="FH23" s="44">
        <v>178</v>
      </c>
      <c r="FI23" s="39">
        <v>149.09700000000001</v>
      </c>
      <c r="FJ23" s="39">
        <v>154.18</v>
      </c>
      <c r="FK23" s="39">
        <v>160.38399999999999</v>
      </c>
      <c r="FL23" s="39">
        <v>156.84800000000001</v>
      </c>
      <c r="FM23" s="45">
        <v>192</v>
      </c>
      <c r="FN23" s="45">
        <v>154</v>
      </c>
      <c r="FO23" s="36">
        <v>161</v>
      </c>
      <c r="FP23" s="45">
        <v>206</v>
      </c>
      <c r="FQ23" s="39">
        <v>209.792</v>
      </c>
      <c r="FR23" s="39">
        <v>150.99100000000001</v>
      </c>
      <c r="FS23" s="39">
        <v>149.35300000000001</v>
      </c>
      <c r="FT23" s="39">
        <v>175.47200000000001</v>
      </c>
      <c r="FU23" s="43">
        <v>44</v>
      </c>
      <c r="FV23" s="43">
        <v>32</v>
      </c>
      <c r="FW23" s="43">
        <v>31</v>
      </c>
      <c r="FX23" s="45">
        <v>32</v>
      </c>
      <c r="FY23" s="39">
        <v>47.314</v>
      </c>
      <c r="FZ23" s="39">
        <v>30.317</v>
      </c>
      <c r="GA23" s="39">
        <v>28.297999999999998</v>
      </c>
      <c r="GB23" s="39">
        <v>27.181999999999999</v>
      </c>
      <c r="GC23" s="150">
        <v>52</v>
      </c>
      <c r="GD23" s="150">
        <v>40</v>
      </c>
      <c r="GE23" s="150">
        <v>32</v>
      </c>
      <c r="GF23" s="150">
        <v>51</v>
      </c>
      <c r="GG23" s="182">
        <v>58.488999999999997</v>
      </c>
      <c r="GH23" s="182">
        <v>41.246000000000002</v>
      </c>
      <c r="GI23" s="182">
        <v>30.006</v>
      </c>
      <c r="GJ23" s="182">
        <v>44.186999999999998</v>
      </c>
      <c r="GK23" s="182"/>
      <c r="GL23" s="114"/>
      <c r="GM23" s="114"/>
      <c r="GN23" s="114"/>
      <c r="GP23" s="114"/>
      <c r="GQ23" s="114"/>
      <c r="GR23" s="114"/>
      <c r="GS23" s="114"/>
      <c r="GU23" s="114"/>
      <c r="GV23" s="114"/>
      <c r="GW23" s="114"/>
      <c r="GX23" s="114"/>
      <c r="HE23" s="113"/>
      <c r="HF23" s="113"/>
      <c r="HG23" s="113"/>
      <c r="HH23" s="113"/>
      <c r="HI23" s="113"/>
      <c r="HJ23" s="115"/>
      <c r="HK23" s="115"/>
      <c r="HL23" s="114"/>
      <c r="HV23" s="116"/>
    </row>
    <row r="24" spans="1:230" x14ac:dyDescent="0.2">
      <c r="A24" s="128">
        <v>21</v>
      </c>
      <c r="B24" s="129" t="s">
        <v>67</v>
      </c>
      <c r="C24" s="117">
        <v>36545</v>
      </c>
      <c r="D24" s="117">
        <v>36790</v>
      </c>
      <c r="E24" s="117">
        <v>37075</v>
      </c>
      <c r="F24" s="117">
        <v>37456</v>
      </c>
      <c r="G24" s="151">
        <v>37575</v>
      </c>
      <c r="H24" s="155">
        <v>36279</v>
      </c>
      <c r="I24" s="155">
        <v>295</v>
      </c>
      <c r="J24" s="155">
        <v>128</v>
      </c>
      <c r="K24" s="155">
        <v>212</v>
      </c>
      <c r="L24" s="155">
        <v>661</v>
      </c>
      <c r="M24" s="40">
        <v>15645</v>
      </c>
      <c r="N24" s="40">
        <v>15757</v>
      </c>
      <c r="O24" s="40">
        <v>15904</v>
      </c>
      <c r="P24" s="106">
        <v>16141</v>
      </c>
      <c r="Q24" s="106">
        <v>16275</v>
      </c>
      <c r="R24" s="51">
        <v>34.6</v>
      </c>
      <c r="S24" s="51">
        <v>35.6</v>
      </c>
      <c r="T24" s="51">
        <v>36.87250906811159</v>
      </c>
      <c r="U24" s="51">
        <v>37.336127708909302</v>
      </c>
      <c r="V24" s="51">
        <v>37.227511344425665</v>
      </c>
      <c r="W24" s="38">
        <v>29.1</v>
      </c>
      <c r="X24" s="38">
        <v>28.8</v>
      </c>
      <c r="Y24" s="38">
        <v>29.152299493976987</v>
      </c>
      <c r="Z24" s="38">
        <v>29.684295014715062</v>
      </c>
      <c r="AA24" s="38">
        <v>29.935937360975174</v>
      </c>
      <c r="AB24" s="51">
        <v>63.7</v>
      </c>
      <c r="AC24" s="51">
        <v>64.400000000000006</v>
      </c>
      <c r="AD24" s="51">
        <v>66.02480856208858</v>
      </c>
      <c r="AE24" s="51">
        <v>67.020422723624364</v>
      </c>
      <c r="AF24" s="51">
        <v>67.163448705400839</v>
      </c>
      <c r="AG24" s="39">
        <v>4.3</v>
      </c>
      <c r="AH24" s="39">
        <v>3.6319006111612064</v>
      </c>
      <c r="AI24" s="39">
        <v>3.4205829863176684</v>
      </c>
      <c r="AJ24" s="39">
        <v>3.5103420843277644</v>
      </c>
      <c r="AK24" s="39">
        <v>3.3440355643368731</v>
      </c>
      <c r="AL24" s="43">
        <v>1464.5</v>
      </c>
      <c r="AM24" s="43">
        <v>1319</v>
      </c>
      <c r="AN24" s="43">
        <v>1206.75</v>
      </c>
      <c r="AO24" s="43">
        <v>1189.3333333333333</v>
      </c>
      <c r="AP24" s="43">
        <v>1147.6666666666667</v>
      </c>
      <c r="AQ24" s="190">
        <v>47161.47763031879</v>
      </c>
      <c r="AR24" s="190">
        <v>46479.160960765133</v>
      </c>
      <c r="AS24" s="190">
        <v>48524.867096634916</v>
      </c>
      <c r="AT24" s="190">
        <v>49764.597394275959</v>
      </c>
      <c r="AU24" s="190">
        <v>52036.630000000005</v>
      </c>
      <c r="AV24" s="162">
        <v>55750.8</v>
      </c>
      <c r="AW24" s="162">
        <v>54206.880000000005</v>
      </c>
      <c r="AX24" s="162">
        <v>54389.919999999998</v>
      </c>
      <c r="AY24" s="161">
        <v>58523.57</v>
      </c>
      <c r="AZ24" s="161">
        <v>62809</v>
      </c>
      <c r="BA24" s="49">
        <v>10.4</v>
      </c>
      <c r="BB24" s="49">
        <v>9.6</v>
      </c>
      <c r="BC24" s="49">
        <v>8.8000000000000007</v>
      </c>
      <c r="BD24" s="49">
        <v>8.6</v>
      </c>
      <c r="BE24" s="49">
        <v>7.3</v>
      </c>
      <c r="BF24" s="42">
        <v>13</v>
      </c>
      <c r="BG24" s="42">
        <v>12.7</v>
      </c>
      <c r="BH24" s="42">
        <v>11.4</v>
      </c>
      <c r="BI24" s="42">
        <v>10.4</v>
      </c>
      <c r="BJ24" s="42">
        <v>8.8000000000000007</v>
      </c>
      <c r="BK24" s="36">
        <v>5335</v>
      </c>
      <c r="BL24" s="36">
        <v>5404</v>
      </c>
      <c r="BM24" s="36">
        <v>5346</v>
      </c>
      <c r="BN24" s="36">
        <v>5734</v>
      </c>
      <c r="BO24" s="40">
        <v>33.495782567947515</v>
      </c>
      <c r="BP24" s="40">
        <v>31.439674315321984</v>
      </c>
      <c r="BQ24" s="40">
        <v>30.078563411896745</v>
      </c>
      <c r="BR24" s="40">
        <v>30.467387513079874</v>
      </c>
      <c r="BS24" s="51">
        <v>0.22492970946579194</v>
      </c>
      <c r="BT24" s="51">
        <v>0.25906735751295334</v>
      </c>
      <c r="BU24" s="51">
        <v>0.41152263374485598</v>
      </c>
      <c r="BV24" s="51">
        <v>0.48831531217300317</v>
      </c>
      <c r="BW24" s="39">
        <v>16.907216494845361</v>
      </c>
      <c r="BX24" s="39">
        <v>17.3019985196151</v>
      </c>
      <c r="BY24" s="39">
        <v>15.469509913954358</v>
      </c>
      <c r="BZ24" s="39">
        <v>17.753749564004185</v>
      </c>
      <c r="CA24" s="40">
        <v>88.528678304239406</v>
      </c>
      <c r="CB24" s="40">
        <v>85.230024213075069</v>
      </c>
      <c r="CC24" s="40">
        <v>83.53</v>
      </c>
      <c r="CD24" s="40">
        <v>84.44</v>
      </c>
      <c r="CE24" s="40">
        <v>1.99501246882793</v>
      </c>
      <c r="CF24" s="40">
        <v>8.0378250591016549</v>
      </c>
      <c r="CG24" s="40">
        <v>4.6399999999999997</v>
      </c>
      <c r="CH24" s="40">
        <v>6.64</v>
      </c>
      <c r="CI24" s="105">
        <v>1814</v>
      </c>
      <c r="CJ24" s="105">
        <v>2055</v>
      </c>
      <c r="CK24" s="104">
        <v>2043</v>
      </c>
      <c r="CL24" s="104">
        <v>2120</v>
      </c>
      <c r="CM24" s="39">
        <v>11.206246833957277</v>
      </c>
      <c r="CN24" s="39">
        <v>14.54270105018824</v>
      </c>
      <c r="CO24" s="39">
        <v>11.272097283220411</v>
      </c>
      <c r="CP24" s="39">
        <v>11.432207548492512</v>
      </c>
      <c r="CQ24" s="104">
        <v>67</v>
      </c>
      <c r="CR24" s="104">
        <v>78</v>
      </c>
      <c r="CS24" s="104">
        <v>92</v>
      </c>
      <c r="CT24" s="104">
        <v>100</v>
      </c>
      <c r="CU24" s="39">
        <v>3.8</v>
      </c>
      <c r="CV24" s="39">
        <v>3.9</v>
      </c>
      <c r="CW24" s="39">
        <v>4.7</v>
      </c>
      <c r="CX24" s="39">
        <v>4.9000000000000004</v>
      </c>
      <c r="CY24" s="36">
        <v>108</v>
      </c>
      <c r="CZ24" s="104">
        <v>171</v>
      </c>
      <c r="DA24" s="104">
        <v>138</v>
      </c>
      <c r="DB24" s="104">
        <v>144</v>
      </c>
      <c r="DC24" s="39">
        <v>6.2</v>
      </c>
      <c r="DD24" s="39">
        <v>8.6999999999999993</v>
      </c>
      <c r="DE24" s="39">
        <v>7.1</v>
      </c>
      <c r="DF24" s="39">
        <v>7.1</v>
      </c>
      <c r="DG24" s="39">
        <v>89.5</v>
      </c>
      <c r="DH24" s="39">
        <v>89.6</v>
      </c>
      <c r="DI24" s="39">
        <v>92.4</v>
      </c>
      <c r="DJ24" s="39">
        <v>91.9</v>
      </c>
      <c r="DK24" s="39">
        <v>16.7</v>
      </c>
      <c r="DL24" s="39">
        <v>14.6</v>
      </c>
      <c r="DM24" s="39">
        <v>14.9</v>
      </c>
      <c r="DN24" s="39">
        <v>13.5</v>
      </c>
      <c r="DO24" s="39">
        <v>22.7</v>
      </c>
      <c r="DP24" s="39">
        <v>27.5</v>
      </c>
      <c r="DQ24" s="39">
        <v>28.6</v>
      </c>
      <c r="DR24" s="39">
        <v>28.6</v>
      </c>
      <c r="DS24" s="39">
        <v>27</v>
      </c>
      <c r="DT24" s="39">
        <v>21.5</v>
      </c>
      <c r="DU24" s="39">
        <v>16.7</v>
      </c>
      <c r="DV24" s="39">
        <v>16.899999999999999</v>
      </c>
      <c r="DW24" s="45">
        <v>413</v>
      </c>
      <c r="DX24" s="45">
        <v>5</v>
      </c>
      <c r="DY24" s="15">
        <v>2</v>
      </c>
      <c r="DZ24" s="45">
        <v>4</v>
      </c>
      <c r="EA24" s="45">
        <v>10</v>
      </c>
      <c r="EB24" s="45">
        <v>4</v>
      </c>
      <c r="EC24" s="45">
        <v>13</v>
      </c>
      <c r="ED24" s="45">
        <v>10</v>
      </c>
      <c r="EE24" s="45">
        <v>13</v>
      </c>
      <c r="EF24" s="104">
        <v>1686</v>
      </c>
      <c r="EG24" s="104">
        <v>1622</v>
      </c>
      <c r="EH24" s="104">
        <v>1856</v>
      </c>
      <c r="EI24" s="104">
        <v>2053</v>
      </c>
      <c r="EJ24" s="174">
        <v>419</v>
      </c>
      <c r="EK24" s="174">
        <v>1</v>
      </c>
      <c r="EL24" s="174">
        <v>2</v>
      </c>
      <c r="EM24" s="174">
        <v>2</v>
      </c>
      <c r="EN24" s="174"/>
      <c r="EO24" s="39">
        <v>1027.3910000000001</v>
      </c>
      <c r="EP24" s="39">
        <v>923.21699999999998</v>
      </c>
      <c r="EQ24" s="39">
        <v>1030.8530000000001</v>
      </c>
      <c r="ER24" s="39">
        <v>1107.4849999999999</v>
      </c>
      <c r="ES24" s="39">
        <v>702.65599999999995</v>
      </c>
      <c r="ET24" s="39">
        <v>600.15899999999999</v>
      </c>
      <c r="EU24" s="39">
        <v>652.029</v>
      </c>
      <c r="EV24" s="39">
        <v>658.19500000000005</v>
      </c>
      <c r="EW24" s="39">
        <v>849.90300000000002</v>
      </c>
      <c r="EX24" s="39">
        <v>725.81</v>
      </c>
      <c r="EY24" s="39">
        <v>746.73800000000006</v>
      </c>
      <c r="EZ24" s="39">
        <v>768.14499999999998</v>
      </c>
      <c r="FA24" s="39">
        <v>591.548</v>
      </c>
      <c r="FB24" s="39">
        <v>501.27300000000002</v>
      </c>
      <c r="FC24" s="39">
        <v>573.99800000000005</v>
      </c>
      <c r="FD24" s="39">
        <v>564.04</v>
      </c>
      <c r="FE24" s="44">
        <v>377</v>
      </c>
      <c r="FF24" s="44">
        <v>391</v>
      </c>
      <c r="FG24" s="44">
        <v>451</v>
      </c>
      <c r="FH24" s="44">
        <v>470</v>
      </c>
      <c r="FI24" s="39">
        <v>167.321</v>
      </c>
      <c r="FJ24" s="39">
        <v>161.41300000000001</v>
      </c>
      <c r="FK24" s="39">
        <v>165.56700000000001</v>
      </c>
      <c r="FL24" s="39">
        <v>158.042</v>
      </c>
      <c r="FM24" s="45">
        <v>529</v>
      </c>
      <c r="FN24" s="45">
        <v>437</v>
      </c>
      <c r="FO24" s="36">
        <v>427</v>
      </c>
      <c r="FP24" s="45">
        <v>436</v>
      </c>
      <c r="FQ24" s="39">
        <v>212.65799999999999</v>
      </c>
      <c r="FR24" s="39">
        <v>148.63999999999999</v>
      </c>
      <c r="FS24" s="39">
        <v>144.096</v>
      </c>
      <c r="FT24" s="39">
        <v>132.24100000000001</v>
      </c>
      <c r="FU24" s="43">
        <v>136</v>
      </c>
      <c r="FV24" s="43">
        <v>121</v>
      </c>
      <c r="FW24" s="43">
        <v>128</v>
      </c>
      <c r="FX24" s="45">
        <v>120</v>
      </c>
      <c r="FY24" s="39">
        <v>53.642000000000003</v>
      </c>
      <c r="FZ24" s="39">
        <v>41.442999999999998</v>
      </c>
      <c r="GA24" s="39">
        <v>40.386000000000003</v>
      </c>
      <c r="GB24" s="39">
        <v>33.712000000000003</v>
      </c>
      <c r="GC24" s="150">
        <v>60</v>
      </c>
      <c r="GD24" s="150">
        <v>64</v>
      </c>
      <c r="GE24" s="150">
        <v>75</v>
      </c>
      <c r="GF24" s="150">
        <v>86</v>
      </c>
      <c r="GG24" s="182">
        <v>30.234999999999999</v>
      </c>
      <c r="GH24" s="182">
        <v>28.920999999999999</v>
      </c>
      <c r="GI24" s="182">
        <v>32.976999999999997</v>
      </c>
      <c r="GJ24" s="182">
        <v>37.777999999999999</v>
      </c>
      <c r="GK24" s="182"/>
      <c r="GL24" s="114"/>
      <c r="GM24" s="114"/>
      <c r="GN24" s="114"/>
      <c r="GP24" s="114"/>
      <c r="GQ24" s="114"/>
      <c r="GR24" s="114"/>
      <c r="GS24" s="114"/>
      <c r="GU24" s="114"/>
      <c r="GV24" s="114"/>
      <c r="GW24" s="114"/>
      <c r="GX24" s="114"/>
      <c r="HE24" s="113"/>
      <c r="HF24" s="113"/>
      <c r="HG24" s="113"/>
      <c r="HH24" s="113"/>
      <c r="HI24" s="113"/>
      <c r="HJ24" s="115"/>
      <c r="HK24" s="115"/>
      <c r="HL24" s="114"/>
      <c r="HV24" s="116"/>
    </row>
    <row r="25" spans="1:230" ht="21" customHeight="1" x14ac:dyDescent="0.2">
      <c r="A25" s="128">
        <v>22</v>
      </c>
      <c r="B25" s="129" t="s">
        <v>68</v>
      </c>
      <c r="C25" s="117">
        <v>14191</v>
      </c>
      <c r="D25" s="117">
        <v>14192</v>
      </c>
      <c r="E25" s="117">
        <v>14050</v>
      </c>
      <c r="F25" s="117">
        <v>13935</v>
      </c>
      <c r="G25" s="151">
        <v>13784</v>
      </c>
      <c r="H25" s="155">
        <v>12624</v>
      </c>
      <c r="I25" s="155">
        <v>100</v>
      </c>
      <c r="J25" s="155">
        <v>57</v>
      </c>
      <c r="K25" s="155">
        <v>58</v>
      </c>
      <c r="L25" s="155">
        <v>945</v>
      </c>
      <c r="M25" s="40">
        <v>6156</v>
      </c>
      <c r="N25" s="40">
        <v>6166</v>
      </c>
      <c r="O25" s="40">
        <v>6156</v>
      </c>
      <c r="P25" s="106">
        <v>6137</v>
      </c>
      <c r="Q25" s="106">
        <v>6132</v>
      </c>
      <c r="R25" s="51">
        <v>37.200000000000003</v>
      </c>
      <c r="S25" s="51">
        <v>37.5</v>
      </c>
      <c r="T25" s="51">
        <v>38.019778386750865</v>
      </c>
      <c r="U25" s="51">
        <v>38.317644219164855</v>
      </c>
      <c r="V25" s="51">
        <v>38.271604938271601</v>
      </c>
      <c r="W25" s="38">
        <v>28.7</v>
      </c>
      <c r="X25" s="38">
        <v>29.5</v>
      </c>
      <c r="Y25" s="38">
        <v>29.381627546765159</v>
      </c>
      <c r="Z25" s="38">
        <v>29.85759111754767</v>
      </c>
      <c r="AA25" s="38">
        <v>30.216354968830217</v>
      </c>
      <c r="AB25" s="51">
        <v>66</v>
      </c>
      <c r="AC25" s="51">
        <v>67</v>
      </c>
      <c r="AD25" s="51">
        <v>67.401405933516017</v>
      </c>
      <c r="AE25" s="51">
        <v>68.175235336712518</v>
      </c>
      <c r="AF25" s="51">
        <v>68.487959907101825</v>
      </c>
      <c r="AG25" s="39">
        <v>5.6</v>
      </c>
      <c r="AH25" s="39">
        <v>5.0808625336927227</v>
      </c>
      <c r="AI25" s="39">
        <v>4.3518641369245055</v>
      </c>
      <c r="AJ25" s="39">
        <v>4.4459644322845415</v>
      </c>
      <c r="AK25" s="39">
        <v>4.3919388464211258</v>
      </c>
      <c r="AL25" s="43">
        <v>671.25</v>
      </c>
      <c r="AM25" s="43">
        <v>618.66666666666663</v>
      </c>
      <c r="AN25" s="43">
        <v>580.75</v>
      </c>
      <c r="AO25" s="43">
        <v>580.66666666666663</v>
      </c>
      <c r="AP25" s="43">
        <v>579.41666666666663</v>
      </c>
      <c r="AQ25" s="190">
        <v>49964.691976571878</v>
      </c>
      <c r="AR25" s="190">
        <v>40738.197715413902</v>
      </c>
      <c r="AS25" s="190">
        <v>41820.473785302696</v>
      </c>
      <c r="AT25" s="190">
        <v>39573.139576605667</v>
      </c>
      <c r="AU25" s="190">
        <v>38519.94</v>
      </c>
      <c r="AV25" s="162">
        <v>44974.65</v>
      </c>
      <c r="AW25" s="162">
        <v>49078.64</v>
      </c>
      <c r="AX25" s="162">
        <v>50089.520000000004</v>
      </c>
      <c r="AY25" s="161">
        <v>53734.07</v>
      </c>
      <c r="AZ25" s="161">
        <v>45963</v>
      </c>
      <c r="BA25" s="49">
        <v>11.5</v>
      </c>
      <c r="BB25" s="49">
        <v>13.5</v>
      </c>
      <c r="BC25" s="49">
        <v>11.3</v>
      </c>
      <c r="BD25" s="49">
        <v>11.7</v>
      </c>
      <c r="BE25" s="49">
        <v>12.1</v>
      </c>
      <c r="BF25" s="42">
        <v>18.2</v>
      </c>
      <c r="BG25" s="42">
        <v>21.1</v>
      </c>
      <c r="BH25" s="42">
        <v>18.100000000000001</v>
      </c>
      <c r="BI25" s="42">
        <v>17.2</v>
      </c>
      <c r="BJ25" s="42">
        <v>18</v>
      </c>
      <c r="BK25" s="36">
        <v>1885</v>
      </c>
      <c r="BL25" s="36">
        <v>1853</v>
      </c>
      <c r="BM25" s="36">
        <v>1791</v>
      </c>
      <c r="BN25" s="36">
        <v>2076</v>
      </c>
      <c r="BO25" s="40">
        <v>46.684350132625994</v>
      </c>
      <c r="BP25" s="40">
        <v>52.995143011332971</v>
      </c>
      <c r="BQ25" s="40">
        <v>44.779452819653827</v>
      </c>
      <c r="BR25" s="40">
        <v>47.01348747591522</v>
      </c>
      <c r="BS25" s="51">
        <v>2.4403183023872681</v>
      </c>
      <c r="BT25" s="51">
        <v>2.5364274150026982</v>
      </c>
      <c r="BU25" s="51">
        <v>2.4008933556672249</v>
      </c>
      <c r="BV25" s="51">
        <v>2.4084778420038537</v>
      </c>
      <c r="BW25" s="39">
        <v>14.164456233421751</v>
      </c>
      <c r="BX25" s="39">
        <v>13.869400971397733</v>
      </c>
      <c r="BY25" s="39">
        <v>12.89782244556114</v>
      </c>
      <c r="BZ25" s="39">
        <v>14.547206165703274</v>
      </c>
      <c r="CA25" s="40">
        <v>78.260869565217391</v>
      </c>
      <c r="CB25" s="40">
        <v>79.428571428571431</v>
      </c>
      <c r="CC25" s="40">
        <v>81.37</v>
      </c>
      <c r="CD25" s="40">
        <v>77.78</v>
      </c>
      <c r="CE25" s="40">
        <v>8.695652173913043</v>
      </c>
      <c r="CF25" s="40">
        <v>9.6045197740112993</v>
      </c>
      <c r="CG25" s="40">
        <v>7.45</v>
      </c>
      <c r="CH25" s="40">
        <v>6.94</v>
      </c>
      <c r="CI25" s="105">
        <v>772</v>
      </c>
      <c r="CJ25" s="105">
        <v>828</v>
      </c>
      <c r="CK25" s="104">
        <v>753</v>
      </c>
      <c r="CL25" s="104">
        <v>746</v>
      </c>
      <c r="CM25" s="39">
        <v>9.5816112497052295</v>
      </c>
      <c r="CN25" s="39">
        <v>13.507340946166394</v>
      </c>
      <c r="CO25" s="39">
        <v>10.392800949568</v>
      </c>
      <c r="CP25" s="39">
        <v>10.634051773292279</v>
      </c>
      <c r="CQ25" s="104">
        <v>32</v>
      </c>
      <c r="CR25" s="104">
        <v>34</v>
      </c>
      <c r="CS25" s="104">
        <v>38</v>
      </c>
      <c r="CT25" s="104">
        <v>33</v>
      </c>
      <c r="CU25" s="39">
        <v>4.3</v>
      </c>
      <c r="CV25" s="39">
        <v>4.3</v>
      </c>
      <c r="CW25" s="39">
        <v>5.2</v>
      </c>
      <c r="CX25" s="39">
        <v>4.5999999999999996</v>
      </c>
      <c r="CY25" s="36">
        <v>51</v>
      </c>
      <c r="CZ25" s="104">
        <v>55</v>
      </c>
      <c r="DA25" s="104">
        <v>58</v>
      </c>
      <c r="DB25" s="104">
        <v>36</v>
      </c>
      <c r="DC25" s="39">
        <v>7.4</v>
      </c>
      <c r="DD25" s="39">
        <v>7.8</v>
      </c>
      <c r="DE25" s="39">
        <v>8.1999999999999993</v>
      </c>
      <c r="DF25" s="39">
        <v>5</v>
      </c>
      <c r="DG25" s="39">
        <v>86.4</v>
      </c>
      <c r="DH25" s="39">
        <v>90.8</v>
      </c>
      <c r="DI25" s="39">
        <v>90.2</v>
      </c>
      <c r="DJ25" s="39">
        <v>81.599999999999994</v>
      </c>
      <c r="DK25" s="39">
        <v>14.7</v>
      </c>
      <c r="DL25" s="39">
        <v>13.6</v>
      </c>
      <c r="DM25" s="39">
        <v>16.600000000000001</v>
      </c>
      <c r="DN25" s="39">
        <v>19.5</v>
      </c>
      <c r="DO25" s="39">
        <v>30.3</v>
      </c>
      <c r="DP25" s="39">
        <v>34.4</v>
      </c>
      <c r="DQ25" s="39">
        <v>39.5</v>
      </c>
      <c r="DR25" s="39">
        <v>38</v>
      </c>
      <c r="DS25" s="39">
        <v>28.5</v>
      </c>
      <c r="DT25" s="39">
        <v>31.4</v>
      </c>
      <c r="DU25" s="39">
        <v>27</v>
      </c>
      <c r="DV25" s="39">
        <v>15.1</v>
      </c>
      <c r="DW25" s="45">
        <v>113</v>
      </c>
      <c r="DX25" s="45">
        <v>2</v>
      </c>
      <c r="DY25" s="15">
        <v>2</v>
      </c>
      <c r="DZ25" s="45">
        <v>0</v>
      </c>
      <c r="EA25" s="45">
        <v>23</v>
      </c>
      <c r="EB25" s="45">
        <v>5</v>
      </c>
      <c r="EC25" s="45">
        <v>3</v>
      </c>
      <c r="ED25" s="45">
        <v>3</v>
      </c>
      <c r="EE25" s="45">
        <v>2</v>
      </c>
      <c r="EF25" s="104">
        <v>1082</v>
      </c>
      <c r="EG25" s="104">
        <v>995</v>
      </c>
      <c r="EH25" s="104">
        <v>951</v>
      </c>
      <c r="EI25" s="104">
        <v>918</v>
      </c>
      <c r="EJ25" s="174">
        <v>178</v>
      </c>
      <c r="EK25" s="174"/>
      <c r="EL25" s="174"/>
      <c r="EM25" s="174"/>
      <c r="EN25" s="174">
        <v>6</v>
      </c>
      <c r="EO25" s="39">
        <v>1337.3710000000001</v>
      </c>
      <c r="EP25" s="39">
        <v>1283.374</v>
      </c>
      <c r="EQ25" s="39">
        <v>1306.9469999999999</v>
      </c>
      <c r="ER25" s="39">
        <v>1306.7619999999999</v>
      </c>
      <c r="ES25" s="39">
        <v>721.31700000000001</v>
      </c>
      <c r="ET25" s="39">
        <v>674.67600000000004</v>
      </c>
      <c r="EU25" s="39">
        <v>698.74300000000005</v>
      </c>
      <c r="EV25" s="39">
        <v>706.74400000000003</v>
      </c>
      <c r="EW25" s="39">
        <v>897.43499999999995</v>
      </c>
      <c r="EX25" s="39">
        <v>853.09400000000005</v>
      </c>
      <c r="EY25" s="39">
        <v>877.51</v>
      </c>
      <c r="EZ25" s="39">
        <v>860.48400000000004</v>
      </c>
      <c r="FA25" s="39">
        <v>591.91600000000005</v>
      </c>
      <c r="FB25" s="39">
        <v>537.20799999999997</v>
      </c>
      <c r="FC25" s="39">
        <v>547.54899999999998</v>
      </c>
      <c r="FD25" s="39">
        <v>580.43700000000001</v>
      </c>
      <c r="FE25" s="44">
        <v>210</v>
      </c>
      <c r="FF25" s="44">
        <v>219</v>
      </c>
      <c r="FG25" s="44">
        <v>194</v>
      </c>
      <c r="FH25" s="44">
        <v>202</v>
      </c>
      <c r="FI25" s="39">
        <v>155.46199999999999</v>
      </c>
      <c r="FJ25" s="39">
        <v>164.262</v>
      </c>
      <c r="FK25" s="39">
        <v>156.999</v>
      </c>
      <c r="FL25" s="39">
        <v>168.89699999999999</v>
      </c>
      <c r="FM25" s="45">
        <v>361</v>
      </c>
      <c r="FN25" s="45">
        <v>296</v>
      </c>
      <c r="FO25" s="36">
        <v>224</v>
      </c>
      <c r="FP25" s="45">
        <v>219</v>
      </c>
      <c r="FQ25" s="39">
        <v>235.01300000000001</v>
      </c>
      <c r="FR25" s="39">
        <v>187.714</v>
      </c>
      <c r="FS25" s="39">
        <v>152.202</v>
      </c>
      <c r="FT25" s="39">
        <v>151.23099999999999</v>
      </c>
      <c r="FU25" s="43">
        <v>84</v>
      </c>
      <c r="FV25" s="43">
        <v>74</v>
      </c>
      <c r="FW25" s="43">
        <v>56</v>
      </c>
      <c r="FX25" s="45">
        <v>46</v>
      </c>
      <c r="FY25" s="39">
        <v>48.881999999999998</v>
      </c>
      <c r="FZ25" s="39">
        <v>45.125999999999998</v>
      </c>
      <c r="GA25" s="39">
        <v>35.771999999999998</v>
      </c>
      <c r="GB25" s="39">
        <v>32.853999999999999</v>
      </c>
      <c r="GC25" s="150">
        <v>43</v>
      </c>
      <c r="GD25" s="150">
        <v>36</v>
      </c>
      <c r="GE25" s="150">
        <v>42</v>
      </c>
      <c r="GF25" s="150">
        <v>34</v>
      </c>
      <c r="GG25" s="182">
        <v>36.649000000000001</v>
      </c>
      <c r="GH25" s="182">
        <v>34.51</v>
      </c>
      <c r="GI25" s="182">
        <v>39.433</v>
      </c>
      <c r="GJ25" s="182">
        <v>42.331000000000003</v>
      </c>
      <c r="GK25" s="182"/>
      <c r="GL25" s="114"/>
      <c r="GM25" s="114"/>
      <c r="GN25" s="114"/>
      <c r="GP25" s="114"/>
      <c r="GQ25" s="114"/>
      <c r="GR25" s="114"/>
      <c r="GS25" s="114"/>
      <c r="GU25" s="114"/>
      <c r="GV25" s="114"/>
      <c r="GW25" s="114"/>
      <c r="GX25" s="114"/>
      <c r="HE25" s="113"/>
      <c r="HF25" s="113"/>
      <c r="HG25" s="113"/>
      <c r="HH25" s="113"/>
      <c r="HI25" s="113"/>
      <c r="HJ25" s="115"/>
      <c r="HK25" s="115"/>
      <c r="HL25" s="114"/>
      <c r="HV25" s="116"/>
    </row>
    <row r="26" spans="1:230" x14ac:dyDescent="0.2">
      <c r="A26" s="128">
        <v>23</v>
      </c>
      <c r="B26" s="129" t="s">
        <v>69</v>
      </c>
      <c r="C26" s="117">
        <v>20835</v>
      </c>
      <c r="D26" s="117">
        <v>20776</v>
      </c>
      <c r="E26" s="117">
        <v>20834</v>
      </c>
      <c r="F26" s="117">
        <v>21003</v>
      </c>
      <c r="G26" s="151">
        <v>20980</v>
      </c>
      <c r="H26" s="155">
        <v>20323</v>
      </c>
      <c r="I26" s="155">
        <v>141</v>
      </c>
      <c r="J26" s="155">
        <v>34</v>
      </c>
      <c r="K26" s="155">
        <v>128</v>
      </c>
      <c r="L26" s="155">
        <v>354</v>
      </c>
      <c r="M26" s="40">
        <v>8581</v>
      </c>
      <c r="N26" s="40">
        <v>8580</v>
      </c>
      <c r="O26" s="40">
        <v>8573</v>
      </c>
      <c r="P26" s="106">
        <v>8583</v>
      </c>
      <c r="Q26" s="106">
        <v>8628</v>
      </c>
      <c r="R26" s="51">
        <v>33.299999999999997</v>
      </c>
      <c r="S26" s="51">
        <v>34</v>
      </c>
      <c r="T26" s="51">
        <v>34.63714239534508</v>
      </c>
      <c r="U26" s="51">
        <v>35.64196030781693</v>
      </c>
      <c r="V26" s="51">
        <v>34.932837028645416</v>
      </c>
      <c r="W26" s="38">
        <v>33.1</v>
      </c>
      <c r="X26" s="38">
        <v>33.200000000000003</v>
      </c>
      <c r="Y26" s="38">
        <v>33.732018748989816</v>
      </c>
      <c r="Z26" s="38">
        <v>34.491697043337382</v>
      </c>
      <c r="AA26" s="38">
        <v>34.835733937530343</v>
      </c>
      <c r="AB26" s="51">
        <v>66.400000000000006</v>
      </c>
      <c r="AC26" s="51">
        <v>67.2</v>
      </c>
      <c r="AD26" s="51">
        <v>68.369161144334896</v>
      </c>
      <c r="AE26" s="51">
        <v>70.133657351154312</v>
      </c>
      <c r="AF26" s="51">
        <v>69.768570966175758</v>
      </c>
      <c r="AG26" s="39">
        <v>5</v>
      </c>
      <c r="AH26" s="39">
        <v>4.3032048973712635</v>
      </c>
      <c r="AI26" s="39">
        <v>4.090749824807288</v>
      </c>
      <c r="AJ26" s="39">
        <v>4.0708896297596064</v>
      </c>
      <c r="AK26" s="39">
        <v>3.6584293377891126</v>
      </c>
      <c r="AL26" s="43">
        <v>736.41666666666663</v>
      </c>
      <c r="AM26" s="43">
        <v>668.5</v>
      </c>
      <c r="AN26" s="43">
        <v>618</v>
      </c>
      <c r="AO26" s="43">
        <v>563.83333333333337</v>
      </c>
      <c r="AP26" s="43">
        <v>529.25</v>
      </c>
      <c r="AQ26" s="190">
        <v>42475.810401959374</v>
      </c>
      <c r="AR26" s="190">
        <v>42305.462922966166</v>
      </c>
      <c r="AS26" s="190">
        <v>44459.800307219666</v>
      </c>
      <c r="AT26" s="190">
        <v>43513.834214159884</v>
      </c>
      <c r="AU26" s="190">
        <v>41988.98</v>
      </c>
      <c r="AV26" s="162">
        <v>51838.5</v>
      </c>
      <c r="AW26" s="162">
        <v>53375.92</v>
      </c>
      <c r="AX26" s="162">
        <v>54541.760000000002</v>
      </c>
      <c r="AY26" s="161">
        <v>53735.1</v>
      </c>
      <c r="AZ26" s="161">
        <v>56165</v>
      </c>
      <c r="BA26" s="49">
        <v>10.7</v>
      </c>
      <c r="BB26" s="49">
        <v>11.6</v>
      </c>
      <c r="BC26" s="49">
        <v>10.8</v>
      </c>
      <c r="BD26" s="49">
        <v>12.3</v>
      </c>
      <c r="BE26" s="49">
        <v>10.3</v>
      </c>
      <c r="BF26" s="42">
        <v>16.100000000000001</v>
      </c>
      <c r="BG26" s="42">
        <v>16.899999999999999</v>
      </c>
      <c r="BH26" s="42">
        <v>17.100000000000001</v>
      </c>
      <c r="BI26" s="42">
        <v>19.100000000000001</v>
      </c>
      <c r="BJ26" s="42">
        <v>14.4</v>
      </c>
      <c r="BK26" s="36">
        <v>2477</v>
      </c>
      <c r="BL26" s="36">
        <v>2491</v>
      </c>
      <c r="BM26" s="36">
        <v>2468</v>
      </c>
      <c r="BN26" s="36">
        <v>3000</v>
      </c>
      <c r="BO26" s="40">
        <v>36.818732337505047</v>
      </c>
      <c r="BP26" s="40">
        <v>34.524287434765156</v>
      </c>
      <c r="BQ26" s="40">
        <v>33.306320907617504</v>
      </c>
      <c r="BR26" s="40">
        <v>29.833333333333336</v>
      </c>
      <c r="BS26" s="51">
        <v>4.0371417036737987E-2</v>
      </c>
      <c r="BT26" s="51">
        <v>0.20072260136491368</v>
      </c>
      <c r="BU26" s="51">
        <v>0.32414910858995138</v>
      </c>
      <c r="BV26" s="51">
        <v>0.36666666666666664</v>
      </c>
      <c r="BW26" s="39">
        <v>12.151796528058135</v>
      </c>
      <c r="BX26" s="39">
        <v>12.123645122440786</v>
      </c>
      <c r="BY26" s="39">
        <v>11.183144246353322</v>
      </c>
      <c r="BZ26" s="39">
        <v>13.033333333333333</v>
      </c>
      <c r="CA26" s="40">
        <v>95.027624309392266</v>
      </c>
      <c r="CB26" s="40">
        <v>97.633136094674555</v>
      </c>
      <c r="CC26" s="40">
        <v>93.43</v>
      </c>
      <c r="CD26" s="40">
        <v>91.67</v>
      </c>
      <c r="CE26" s="40">
        <v>1.6574585635359116</v>
      </c>
      <c r="CF26" s="40">
        <v>0.59171597633136097</v>
      </c>
      <c r="CG26" s="40">
        <v>2.5299999999999998</v>
      </c>
      <c r="CH26" s="40">
        <v>3.65</v>
      </c>
      <c r="CI26" s="105">
        <v>1255</v>
      </c>
      <c r="CJ26" s="105">
        <v>1426</v>
      </c>
      <c r="CK26" s="104">
        <v>1279</v>
      </c>
      <c r="CL26" s="104">
        <v>1316</v>
      </c>
      <c r="CM26" s="39">
        <v>11.914820897931282</v>
      </c>
      <c r="CN26" s="39">
        <v>16.800782308517032</v>
      </c>
      <c r="CO26" s="39">
        <v>12.266937773344587</v>
      </c>
      <c r="CP26" s="39">
        <v>12.60198414218409</v>
      </c>
      <c r="CQ26" s="104">
        <v>61</v>
      </c>
      <c r="CR26" s="104">
        <v>56</v>
      </c>
      <c r="CS26" s="104">
        <v>55</v>
      </c>
      <c r="CT26" s="104">
        <v>46</v>
      </c>
      <c r="CU26" s="39">
        <v>5.0999999999999996</v>
      </c>
      <c r="CV26" s="39">
        <v>4.0999999999999996</v>
      </c>
      <c r="CW26" s="39">
        <v>4.5</v>
      </c>
      <c r="CX26" s="39">
        <v>3.6</v>
      </c>
      <c r="CY26" s="36">
        <v>77</v>
      </c>
      <c r="CZ26" s="104">
        <v>88</v>
      </c>
      <c r="DA26" s="104">
        <v>83</v>
      </c>
      <c r="DB26" s="104">
        <v>76</v>
      </c>
      <c r="DC26" s="39">
        <v>7.8</v>
      </c>
      <c r="DD26" s="39">
        <v>6.8</v>
      </c>
      <c r="DE26" s="39">
        <v>7</v>
      </c>
      <c r="DF26" s="39">
        <v>6</v>
      </c>
      <c r="DG26" s="39">
        <v>82.4</v>
      </c>
      <c r="DH26" s="39">
        <v>82.6</v>
      </c>
      <c r="DI26" s="39">
        <v>80</v>
      </c>
      <c r="DJ26" s="39">
        <v>72.7</v>
      </c>
      <c r="DK26" s="39">
        <v>12.3</v>
      </c>
      <c r="DL26" s="39">
        <v>9.6</v>
      </c>
      <c r="DM26" s="39">
        <v>11.5</v>
      </c>
      <c r="DN26" s="39">
        <v>10.3</v>
      </c>
      <c r="DO26" s="39">
        <v>20.6</v>
      </c>
      <c r="DP26" s="39">
        <v>22.6</v>
      </c>
      <c r="DQ26" s="39">
        <v>24.1</v>
      </c>
      <c r="DR26" s="39">
        <v>23.3</v>
      </c>
      <c r="DS26" s="39">
        <v>20.399999999999999</v>
      </c>
      <c r="DT26" s="39">
        <v>19.8</v>
      </c>
      <c r="DU26" s="39">
        <v>17.100000000000001</v>
      </c>
      <c r="DV26" s="39">
        <v>9.6999999999999993</v>
      </c>
      <c r="DW26" s="45">
        <v>261</v>
      </c>
      <c r="DX26" s="45">
        <v>1</v>
      </c>
      <c r="DY26" s="15">
        <v>0</v>
      </c>
      <c r="DZ26" s="45">
        <v>0</v>
      </c>
      <c r="EA26" s="45">
        <v>3</v>
      </c>
      <c r="EB26" s="45">
        <v>11</v>
      </c>
      <c r="EC26" s="45">
        <v>8</v>
      </c>
      <c r="ED26" s="45">
        <v>3</v>
      </c>
      <c r="EE26" s="45">
        <v>6</v>
      </c>
      <c r="EF26" s="104">
        <v>1285</v>
      </c>
      <c r="EG26" s="104">
        <v>1188</v>
      </c>
      <c r="EH26" s="104">
        <v>1128</v>
      </c>
      <c r="EI26" s="104">
        <v>1170</v>
      </c>
      <c r="EJ26" s="174">
        <v>226</v>
      </c>
      <c r="EK26" s="174">
        <v>1</v>
      </c>
      <c r="EL26" s="174"/>
      <c r="EM26" s="174"/>
      <c r="EN26" s="174">
        <v>1</v>
      </c>
      <c r="EO26" s="39">
        <v>1216.741</v>
      </c>
      <c r="EP26" s="39">
        <v>1111.943</v>
      </c>
      <c r="EQ26" s="39">
        <v>1081.1849999999999</v>
      </c>
      <c r="ER26" s="39">
        <v>1123.164</v>
      </c>
      <c r="ES26" s="39">
        <v>764.80200000000002</v>
      </c>
      <c r="ET26" s="39">
        <v>660.68</v>
      </c>
      <c r="EU26" s="39">
        <v>637.15599999999995</v>
      </c>
      <c r="EV26" s="39">
        <v>648.726</v>
      </c>
      <c r="EW26" s="39">
        <v>980.46</v>
      </c>
      <c r="EX26" s="39">
        <v>820.16200000000003</v>
      </c>
      <c r="EY26" s="39">
        <v>800.63099999999997</v>
      </c>
      <c r="EZ26" s="39">
        <v>782.67899999999997</v>
      </c>
      <c r="FA26" s="39">
        <v>601.90700000000004</v>
      </c>
      <c r="FB26" s="39">
        <v>526.76400000000001</v>
      </c>
      <c r="FC26" s="39">
        <v>511.65600000000001</v>
      </c>
      <c r="FD26" s="39">
        <v>543.17499999999995</v>
      </c>
      <c r="FE26" s="44">
        <v>261</v>
      </c>
      <c r="FF26" s="44">
        <v>270</v>
      </c>
      <c r="FG26" s="44">
        <v>247</v>
      </c>
      <c r="FH26" s="44">
        <v>243</v>
      </c>
      <c r="FI26" s="39">
        <v>167.37799999999999</v>
      </c>
      <c r="FJ26" s="39">
        <v>169.11699999999999</v>
      </c>
      <c r="FK26" s="39">
        <v>155.696</v>
      </c>
      <c r="FL26" s="39">
        <v>147.82</v>
      </c>
      <c r="FM26" s="45">
        <v>358</v>
      </c>
      <c r="FN26" s="45">
        <v>263</v>
      </c>
      <c r="FO26" s="36">
        <v>256</v>
      </c>
      <c r="FP26" s="45">
        <v>291</v>
      </c>
      <c r="FQ26" s="39">
        <v>199.98699999999999</v>
      </c>
      <c r="FR26" s="39">
        <v>138.58199999999999</v>
      </c>
      <c r="FS26" s="39">
        <v>133.995</v>
      </c>
      <c r="FT26" s="39">
        <v>147.10900000000001</v>
      </c>
      <c r="FU26" s="43">
        <v>83</v>
      </c>
      <c r="FV26" s="43">
        <v>77</v>
      </c>
      <c r="FW26" s="43">
        <v>69</v>
      </c>
      <c r="FX26" s="45">
        <v>87</v>
      </c>
      <c r="FY26" s="39">
        <v>44.146999999999998</v>
      </c>
      <c r="FZ26" s="39">
        <v>38.503</v>
      </c>
      <c r="GA26" s="39">
        <v>33.357999999999997</v>
      </c>
      <c r="GB26" s="39">
        <v>41.039000000000001</v>
      </c>
      <c r="GC26" s="150">
        <v>70</v>
      </c>
      <c r="GD26" s="150">
        <v>58</v>
      </c>
      <c r="GE26" s="150">
        <v>72</v>
      </c>
      <c r="GF26" s="150">
        <v>70</v>
      </c>
      <c r="GG26" s="182">
        <v>55.220999999999997</v>
      </c>
      <c r="GH26" s="182">
        <v>37.33</v>
      </c>
      <c r="GI26" s="182">
        <v>48.642000000000003</v>
      </c>
      <c r="GJ26" s="182">
        <v>46.804000000000002</v>
      </c>
      <c r="GK26" s="182"/>
      <c r="GL26" s="114"/>
      <c r="GM26" s="114"/>
      <c r="GN26" s="114"/>
      <c r="GP26" s="114"/>
      <c r="GQ26" s="114"/>
      <c r="GR26" s="114"/>
      <c r="GS26" s="114"/>
      <c r="GU26" s="114"/>
      <c r="GV26" s="114"/>
      <c r="GW26" s="114"/>
      <c r="GX26" s="114"/>
      <c r="HE26" s="113"/>
      <c r="HF26" s="113"/>
      <c r="HG26" s="113"/>
      <c r="HH26" s="113"/>
      <c r="HI26" s="113"/>
      <c r="HJ26" s="115"/>
      <c r="HK26" s="115"/>
      <c r="HL26" s="114"/>
      <c r="HV26" s="116"/>
    </row>
    <row r="27" spans="1:230" x14ac:dyDescent="0.2">
      <c r="A27" s="128">
        <v>24</v>
      </c>
      <c r="B27" s="129" t="s">
        <v>70</v>
      </c>
      <c r="C27" s="117">
        <v>30948</v>
      </c>
      <c r="D27" s="117">
        <v>30840</v>
      </c>
      <c r="E27" s="117">
        <v>30613</v>
      </c>
      <c r="F27" s="117">
        <v>30446</v>
      </c>
      <c r="G27" s="151">
        <v>30535</v>
      </c>
      <c r="H27" s="155">
        <v>26293</v>
      </c>
      <c r="I27" s="155">
        <v>456</v>
      </c>
      <c r="J27" s="155">
        <v>95</v>
      </c>
      <c r="K27" s="155">
        <v>738</v>
      </c>
      <c r="L27" s="155">
        <v>2953</v>
      </c>
      <c r="M27" s="40">
        <v>13143</v>
      </c>
      <c r="N27" s="40">
        <v>13123</v>
      </c>
      <c r="O27" s="40">
        <v>13071</v>
      </c>
      <c r="P27" s="106">
        <v>13109</v>
      </c>
      <c r="Q27" s="106">
        <v>13121</v>
      </c>
      <c r="R27" s="51">
        <v>35.1</v>
      </c>
      <c r="S27" s="51">
        <v>35.700000000000003</v>
      </c>
      <c r="T27" s="51">
        <v>36.008900466731788</v>
      </c>
      <c r="U27" s="51">
        <v>36.531304728546409</v>
      </c>
      <c r="V27" s="51">
        <v>36.703525290124809</v>
      </c>
      <c r="W27" s="38">
        <v>30.2</v>
      </c>
      <c r="X27" s="38">
        <v>30.4</v>
      </c>
      <c r="Y27" s="38">
        <v>30.131336155432543</v>
      </c>
      <c r="Z27" s="38">
        <v>30.095227670753065</v>
      </c>
      <c r="AA27" s="38">
        <v>30.446682723888767</v>
      </c>
      <c r="AB27" s="51">
        <v>65.3</v>
      </c>
      <c r="AC27" s="51">
        <v>66.099999999999994</v>
      </c>
      <c r="AD27" s="51">
        <v>66.140236622164323</v>
      </c>
      <c r="AE27" s="51">
        <v>66.626532399299478</v>
      </c>
      <c r="AF27" s="51">
        <v>67.150208014013586</v>
      </c>
      <c r="AG27" s="39">
        <v>5.0999999999999996</v>
      </c>
      <c r="AH27" s="39">
        <v>4.2453987730061353</v>
      </c>
      <c r="AI27" s="39">
        <v>3.8044140958419703</v>
      </c>
      <c r="AJ27" s="39">
        <v>3.8804307463795027</v>
      </c>
      <c r="AK27" s="39">
        <v>3.7591668207308802</v>
      </c>
      <c r="AL27" s="43">
        <v>1560</v>
      </c>
      <c r="AM27" s="43">
        <v>1480</v>
      </c>
      <c r="AN27" s="43">
        <v>1402.3333333333333</v>
      </c>
      <c r="AO27" s="43">
        <v>1379.8333333333333</v>
      </c>
      <c r="AP27" s="43">
        <v>1336.5833333333333</v>
      </c>
      <c r="AQ27" s="190">
        <v>40722.22168347556</v>
      </c>
      <c r="AR27" s="190">
        <v>39756.643265730629</v>
      </c>
      <c r="AS27" s="190">
        <v>40983.212299640174</v>
      </c>
      <c r="AT27" s="190">
        <v>41246.415292649282</v>
      </c>
      <c r="AU27" s="190">
        <v>42647.15</v>
      </c>
      <c r="AV27" s="162">
        <v>47237.4</v>
      </c>
      <c r="AW27" s="162">
        <v>49605.919999999998</v>
      </c>
      <c r="AX27" s="162">
        <v>49091.12</v>
      </c>
      <c r="AY27" s="161">
        <v>48840.54</v>
      </c>
      <c r="AZ27" s="161">
        <v>52117</v>
      </c>
      <c r="BA27" s="49">
        <v>10.5</v>
      </c>
      <c r="BB27" s="49">
        <v>12.5</v>
      </c>
      <c r="BC27" s="49">
        <v>13.4</v>
      </c>
      <c r="BD27" s="49">
        <v>11</v>
      </c>
      <c r="BE27" s="49">
        <v>11.8</v>
      </c>
      <c r="BF27" s="42">
        <v>16.899999999999999</v>
      </c>
      <c r="BG27" s="42">
        <v>18.399999999999999</v>
      </c>
      <c r="BH27" s="42">
        <v>19.7</v>
      </c>
      <c r="BI27" s="42">
        <v>15.9</v>
      </c>
      <c r="BJ27" s="42">
        <v>15.8</v>
      </c>
      <c r="BK27" s="36">
        <v>4094</v>
      </c>
      <c r="BL27" s="36">
        <v>4140</v>
      </c>
      <c r="BM27" s="36">
        <v>4067</v>
      </c>
      <c r="BN27" s="36">
        <v>4287</v>
      </c>
      <c r="BO27" s="40">
        <v>49.975574010747437</v>
      </c>
      <c r="BP27" s="40">
        <v>48.961352657004831</v>
      </c>
      <c r="BQ27" s="40">
        <v>48.315711826899431</v>
      </c>
      <c r="BR27" s="40">
        <v>47.469092605551666</v>
      </c>
      <c r="BS27" s="51">
        <v>6.1309233023937466</v>
      </c>
      <c r="BT27" s="51">
        <v>6.0386473429951693</v>
      </c>
      <c r="BU27" s="51">
        <v>6.6633882468650114</v>
      </c>
      <c r="BV27" s="51">
        <v>6.1581525542337294</v>
      </c>
      <c r="BW27" s="39">
        <v>19.125549584758183</v>
      </c>
      <c r="BX27" s="39">
        <v>18.840579710144926</v>
      </c>
      <c r="BY27" s="39">
        <v>16.474059503319399</v>
      </c>
      <c r="BZ27" s="39">
        <v>18.451131327268484</v>
      </c>
      <c r="CA27" s="40">
        <v>74.358974358974365</v>
      </c>
      <c r="CB27" s="40">
        <v>78.301886792452834</v>
      </c>
      <c r="CC27" s="40">
        <v>82.07</v>
      </c>
      <c r="CD27" s="40">
        <v>80</v>
      </c>
      <c r="CE27" s="40">
        <v>5.4487179487179489</v>
      </c>
      <c r="CF27" s="40">
        <v>7.6677316293929714</v>
      </c>
      <c r="CG27" s="40">
        <v>8.6199999999999992</v>
      </c>
      <c r="CH27" s="40">
        <v>6.67</v>
      </c>
      <c r="CI27" s="105">
        <v>1822</v>
      </c>
      <c r="CJ27" s="105">
        <v>1876</v>
      </c>
      <c r="CK27" s="104">
        <v>1833</v>
      </c>
      <c r="CL27" s="104">
        <v>1679</v>
      </c>
      <c r="CM27" s="39">
        <v>11.369380050544445</v>
      </c>
      <c r="CN27" s="39">
        <v>14.793785979023736</v>
      </c>
      <c r="CO27" s="39">
        <v>11.794607811595135</v>
      </c>
      <c r="CP27" s="39">
        <v>10.946525667940175</v>
      </c>
      <c r="CQ27" s="104">
        <v>96</v>
      </c>
      <c r="CR27" s="104">
        <v>81</v>
      </c>
      <c r="CS27" s="104">
        <v>87</v>
      </c>
      <c r="CT27" s="104">
        <v>80</v>
      </c>
      <c r="CU27" s="39">
        <v>5.4</v>
      </c>
      <c r="CV27" s="39">
        <v>4.5</v>
      </c>
      <c r="CW27" s="39">
        <v>4.9000000000000004</v>
      </c>
      <c r="CX27" s="39">
        <v>5</v>
      </c>
      <c r="CY27" s="36">
        <v>124</v>
      </c>
      <c r="CZ27" s="104">
        <v>110</v>
      </c>
      <c r="DA27" s="104">
        <v>138</v>
      </c>
      <c r="DB27" s="104">
        <v>117</v>
      </c>
      <c r="DC27" s="39">
        <v>8.1</v>
      </c>
      <c r="DD27" s="39">
        <v>7.2</v>
      </c>
      <c r="DE27" s="39">
        <v>8.1</v>
      </c>
      <c r="DF27" s="39">
        <v>7.3</v>
      </c>
      <c r="DG27" s="39">
        <v>84.4</v>
      </c>
      <c r="DH27" s="39">
        <v>88.8</v>
      </c>
      <c r="DI27" s="39">
        <v>86.6</v>
      </c>
      <c r="DJ27" s="39">
        <v>89.7</v>
      </c>
      <c r="DK27" s="39">
        <v>12.9</v>
      </c>
      <c r="DL27" s="39">
        <v>12.2</v>
      </c>
      <c r="DM27" s="39">
        <v>16.399999999999999</v>
      </c>
      <c r="DN27" s="39">
        <v>13</v>
      </c>
      <c r="DO27" s="39">
        <v>35.9</v>
      </c>
      <c r="DP27" s="39">
        <v>41</v>
      </c>
      <c r="DQ27" s="39">
        <v>44.9</v>
      </c>
      <c r="DR27" s="39">
        <v>47.5</v>
      </c>
      <c r="DS27" s="39">
        <v>39.9</v>
      </c>
      <c r="DT27" s="39">
        <v>43.9</v>
      </c>
      <c r="DU27" s="39">
        <v>38.1</v>
      </c>
      <c r="DV27" s="39">
        <v>25.1</v>
      </c>
      <c r="DW27" s="45">
        <v>240</v>
      </c>
      <c r="DX27" s="45">
        <v>6</v>
      </c>
      <c r="DY27" s="15">
        <v>2</v>
      </c>
      <c r="DZ27" s="45">
        <v>21</v>
      </c>
      <c r="EA27" s="45">
        <v>53</v>
      </c>
      <c r="EB27" s="45">
        <v>12</v>
      </c>
      <c r="EC27" s="45">
        <v>10</v>
      </c>
      <c r="ED27" s="45">
        <v>10</v>
      </c>
      <c r="EE27" s="45">
        <v>10</v>
      </c>
      <c r="EF27" s="104">
        <v>1873</v>
      </c>
      <c r="EG27" s="104">
        <v>1753</v>
      </c>
      <c r="EH27" s="104">
        <v>1775</v>
      </c>
      <c r="EI27" s="104">
        <v>1836</v>
      </c>
      <c r="EJ27" s="174">
        <v>358</v>
      </c>
      <c r="EK27" s="174">
        <v>1</v>
      </c>
      <c r="EL27" s="174">
        <v>2</v>
      </c>
      <c r="EM27" s="174">
        <v>1</v>
      </c>
      <c r="EN27" s="174">
        <v>14</v>
      </c>
      <c r="EO27" s="39">
        <v>1149.644</v>
      </c>
      <c r="EP27" s="39">
        <v>1097.4770000000001</v>
      </c>
      <c r="EQ27" s="39">
        <v>1135.818</v>
      </c>
      <c r="ER27" s="39">
        <v>1199.49</v>
      </c>
      <c r="ES27" s="39">
        <v>757.58100000000002</v>
      </c>
      <c r="ET27" s="39">
        <v>670.47</v>
      </c>
      <c r="EU27" s="39">
        <v>666.56899999999996</v>
      </c>
      <c r="EV27" s="39">
        <v>692.66499999999996</v>
      </c>
      <c r="EW27" s="39">
        <v>942.69500000000005</v>
      </c>
      <c r="EX27" s="39">
        <v>824.51599999999996</v>
      </c>
      <c r="EY27" s="39">
        <v>775.52700000000004</v>
      </c>
      <c r="EZ27" s="39">
        <v>814.529</v>
      </c>
      <c r="FA27" s="39">
        <v>622.60599999999999</v>
      </c>
      <c r="FB27" s="39">
        <v>546.26099999999997</v>
      </c>
      <c r="FC27" s="39">
        <v>574.84100000000001</v>
      </c>
      <c r="FD27" s="39">
        <v>591.66</v>
      </c>
      <c r="FE27" s="44">
        <v>398</v>
      </c>
      <c r="FF27" s="44">
        <v>399</v>
      </c>
      <c r="FG27" s="44">
        <v>419</v>
      </c>
      <c r="FH27" s="44">
        <v>418</v>
      </c>
      <c r="FI27" s="39">
        <v>171.417</v>
      </c>
      <c r="FJ27" s="39">
        <v>167.03700000000001</v>
      </c>
      <c r="FK27" s="39">
        <v>167.38300000000001</v>
      </c>
      <c r="FL27" s="39">
        <v>166.11199999999999</v>
      </c>
      <c r="FM27" s="45">
        <v>525</v>
      </c>
      <c r="FN27" s="45">
        <v>440</v>
      </c>
      <c r="FO27" s="36">
        <v>408</v>
      </c>
      <c r="FP27" s="45">
        <v>393</v>
      </c>
      <c r="FQ27" s="39">
        <v>205.37200000000001</v>
      </c>
      <c r="FR27" s="39">
        <v>158.578</v>
      </c>
      <c r="FS27" s="39">
        <v>143.81100000000001</v>
      </c>
      <c r="FT27" s="39">
        <v>137.06700000000001</v>
      </c>
      <c r="FU27" s="43">
        <v>149</v>
      </c>
      <c r="FV27" s="43">
        <v>134</v>
      </c>
      <c r="FW27" s="43">
        <v>98</v>
      </c>
      <c r="FX27" s="45">
        <v>103</v>
      </c>
      <c r="FY27" s="39">
        <v>56.695999999999998</v>
      </c>
      <c r="FZ27" s="39">
        <v>43.332000000000001</v>
      </c>
      <c r="GA27" s="39">
        <v>33.845999999999997</v>
      </c>
      <c r="GB27" s="39">
        <v>36.488999999999997</v>
      </c>
      <c r="GC27" s="150">
        <v>59</v>
      </c>
      <c r="GD27" s="150">
        <v>58</v>
      </c>
      <c r="GE27" s="150">
        <v>96</v>
      </c>
      <c r="GF27" s="150">
        <v>93</v>
      </c>
      <c r="GG27" s="182">
        <v>28.734999999999999</v>
      </c>
      <c r="GH27" s="182">
        <v>32.277000000000001</v>
      </c>
      <c r="GI27" s="182">
        <v>43.798000000000002</v>
      </c>
      <c r="GJ27" s="182">
        <v>40.61</v>
      </c>
      <c r="GK27" s="182"/>
      <c r="GL27" s="114"/>
      <c r="GM27" s="114"/>
      <c r="GN27" s="114"/>
      <c r="GP27" s="114"/>
      <c r="GQ27" s="114"/>
      <c r="GR27" s="114"/>
      <c r="GS27" s="114"/>
      <c r="GU27" s="114"/>
      <c r="GV27" s="114"/>
      <c r="GW27" s="114"/>
      <c r="GX27" s="114"/>
      <c r="HE27" s="113"/>
      <c r="HF27" s="113"/>
      <c r="HG27" s="113"/>
      <c r="HH27" s="113"/>
      <c r="HI27" s="113"/>
      <c r="HJ27" s="115"/>
      <c r="HK27" s="115"/>
      <c r="HL27" s="114"/>
      <c r="HV27" s="116"/>
    </row>
    <row r="28" spans="1:230" x14ac:dyDescent="0.2">
      <c r="A28" s="128">
        <v>25</v>
      </c>
      <c r="B28" s="129" t="s">
        <v>71</v>
      </c>
      <c r="C28" s="117">
        <v>46464</v>
      </c>
      <c r="D28" s="117">
        <v>46423</v>
      </c>
      <c r="E28" s="117">
        <v>46435</v>
      </c>
      <c r="F28" s="117">
        <v>46676</v>
      </c>
      <c r="G28" s="151">
        <v>46304</v>
      </c>
      <c r="H28" s="155">
        <v>42980</v>
      </c>
      <c r="I28" s="155">
        <v>771</v>
      </c>
      <c r="J28" s="155">
        <v>612</v>
      </c>
      <c r="K28" s="155">
        <v>359</v>
      </c>
      <c r="L28" s="155">
        <v>1582</v>
      </c>
      <c r="M28" s="40">
        <v>18935</v>
      </c>
      <c r="N28" s="40">
        <v>18964</v>
      </c>
      <c r="O28" s="40">
        <v>19060</v>
      </c>
      <c r="P28" s="106">
        <v>19119</v>
      </c>
      <c r="Q28" s="106">
        <v>19205</v>
      </c>
      <c r="R28" s="51">
        <v>28.6</v>
      </c>
      <c r="S28" s="51">
        <v>29.4</v>
      </c>
      <c r="T28" s="51">
        <v>30.224560679528185</v>
      </c>
      <c r="U28" s="51">
        <v>31.226496463688115</v>
      </c>
      <c r="V28" s="51">
        <v>30.513574269410341</v>
      </c>
      <c r="W28" s="38">
        <v>30.1</v>
      </c>
      <c r="X28" s="38">
        <v>29.7</v>
      </c>
      <c r="Y28" s="38">
        <v>29.461123147288422</v>
      </c>
      <c r="Z28" s="38">
        <v>29.80852164912886</v>
      </c>
      <c r="AA28" s="38">
        <v>29.624762234134533</v>
      </c>
      <c r="AB28" s="51">
        <v>58.8</v>
      </c>
      <c r="AC28" s="51">
        <v>59.2</v>
      </c>
      <c r="AD28" s="51">
        <v>59.685683826816607</v>
      </c>
      <c r="AE28" s="51">
        <v>61.035018112816971</v>
      </c>
      <c r="AF28" s="51">
        <v>60.138336503544878</v>
      </c>
      <c r="AG28" s="39">
        <v>5</v>
      </c>
      <c r="AH28" s="39">
        <v>3.8494503446990871</v>
      </c>
      <c r="AI28" s="39">
        <v>3.5363239967482079</v>
      </c>
      <c r="AJ28" s="39">
        <v>3.7525279005317955</v>
      </c>
      <c r="AK28" s="39">
        <v>3.3880597014925371</v>
      </c>
      <c r="AL28" s="43">
        <v>1364.9166666666667</v>
      </c>
      <c r="AM28" s="43">
        <v>1223.3333333333333</v>
      </c>
      <c r="AN28" s="43">
        <v>1115</v>
      </c>
      <c r="AO28" s="43">
        <v>1088.25</v>
      </c>
      <c r="AP28" s="43">
        <v>1094.6666666666667</v>
      </c>
      <c r="AQ28" s="190">
        <v>46361.653373571891</v>
      </c>
      <c r="AR28" s="190">
        <v>48451.492804591253</v>
      </c>
      <c r="AS28" s="190">
        <v>50076.85774581162</v>
      </c>
      <c r="AT28" s="190">
        <v>50354.214371411428</v>
      </c>
      <c r="AU28" s="190">
        <v>51172.46</v>
      </c>
      <c r="AV28" s="162">
        <v>59718.75</v>
      </c>
      <c r="AW28" s="162">
        <v>63885.120000000003</v>
      </c>
      <c r="AX28" s="162">
        <v>63303.76</v>
      </c>
      <c r="AY28" s="161">
        <v>62093.55</v>
      </c>
      <c r="AZ28" s="161">
        <v>65953</v>
      </c>
      <c r="BA28" s="49">
        <v>9.3000000000000007</v>
      </c>
      <c r="BB28" s="49">
        <v>9.6</v>
      </c>
      <c r="BC28" s="49">
        <v>8.9</v>
      </c>
      <c r="BD28" s="49">
        <v>7.7</v>
      </c>
      <c r="BE28" s="49">
        <v>8</v>
      </c>
      <c r="BF28" s="42">
        <v>11.6</v>
      </c>
      <c r="BG28" s="42">
        <v>11.9</v>
      </c>
      <c r="BH28" s="42">
        <v>10.8</v>
      </c>
      <c r="BI28" s="42">
        <v>9.6999999999999993</v>
      </c>
      <c r="BJ28" s="42">
        <v>9</v>
      </c>
      <c r="BK28" s="36">
        <v>6744</v>
      </c>
      <c r="BL28" s="36">
        <v>6681</v>
      </c>
      <c r="BM28" s="36">
        <v>6577</v>
      </c>
      <c r="BN28" s="36">
        <v>7677</v>
      </c>
      <c r="BO28" s="40">
        <v>29.908066429418742</v>
      </c>
      <c r="BP28" s="40">
        <v>27.735368956743002</v>
      </c>
      <c r="BQ28" s="40">
        <v>26.592671430743501</v>
      </c>
      <c r="BR28" s="40">
        <v>26.455646737006646</v>
      </c>
      <c r="BS28" s="51">
        <v>1.5717674970344009</v>
      </c>
      <c r="BT28" s="51">
        <v>1.49678191887442</v>
      </c>
      <c r="BU28" s="51">
        <v>1.6116770564086971</v>
      </c>
      <c r="BV28" s="51">
        <v>1.5370587469063435</v>
      </c>
      <c r="BW28" s="39">
        <v>13.508303677342823</v>
      </c>
      <c r="BX28" s="39">
        <v>13.635683280945965</v>
      </c>
      <c r="BY28" s="39">
        <v>12.391667933708378</v>
      </c>
      <c r="BZ28" s="39">
        <v>14.354565585515175</v>
      </c>
      <c r="CA28" s="40">
        <v>85.41353383458646</v>
      </c>
      <c r="CB28" s="40">
        <v>86.034482758620683</v>
      </c>
      <c r="CC28" s="40">
        <v>87.24</v>
      </c>
      <c r="CD28" s="40">
        <v>86.73</v>
      </c>
      <c r="CE28" s="40">
        <v>3.9097744360902258</v>
      </c>
      <c r="CF28" s="40">
        <v>5.8319039451114927</v>
      </c>
      <c r="CG28" s="40">
        <v>4.25</v>
      </c>
      <c r="CH28" s="40">
        <v>4.8099999999999996</v>
      </c>
      <c r="CI28" s="105">
        <v>2556</v>
      </c>
      <c r="CJ28" s="105">
        <v>2882</v>
      </c>
      <c r="CK28" s="104">
        <v>2770</v>
      </c>
      <c r="CL28" s="104">
        <v>2487</v>
      </c>
      <c r="CM28" s="39">
        <v>11.619660684087066</v>
      </c>
      <c r="CN28" s="39">
        <v>15.772162844024145</v>
      </c>
      <c r="CO28" s="39">
        <v>12.018970013320665</v>
      </c>
      <c r="CP28" s="39">
        <v>10.705891468863806</v>
      </c>
      <c r="CQ28" s="104">
        <v>109</v>
      </c>
      <c r="CR28" s="104">
        <v>134</v>
      </c>
      <c r="CS28" s="104">
        <v>110</v>
      </c>
      <c r="CT28" s="104">
        <v>108</v>
      </c>
      <c r="CU28" s="39">
        <v>4.4000000000000004</v>
      </c>
      <c r="CV28" s="39">
        <v>4.8</v>
      </c>
      <c r="CW28" s="39">
        <v>4.0999999999999996</v>
      </c>
      <c r="CX28" s="39">
        <v>4.5</v>
      </c>
      <c r="CY28" s="36">
        <v>139</v>
      </c>
      <c r="CZ28" s="104">
        <v>248</v>
      </c>
      <c r="DA28" s="104">
        <v>175</v>
      </c>
      <c r="DB28" s="104">
        <v>171</v>
      </c>
      <c r="DC28" s="39">
        <v>6.4</v>
      </c>
      <c r="DD28" s="39">
        <v>9.3000000000000007</v>
      </c>
      <c r="DE28" s="39">
        <v>6.7</v>
      </c>
      <c r="DF28" s="39">
        <v>7.1</v>
      </c>
      <c r="DG28" s="39">
        <v>86.2</v>
      </c>
      <c r="DH28" s="39">
        <v>89.5</v>
      </c>
      <c r="DI28" s="39">
        <v>88.3</v>
      </c>
      <c r="DJ28" s="39">
        <v>84.2</v>
      </c>
      <c r="DK28" s="39">
        <v>13.8</v>
      </c>
      <c r="DL28" s="39">
        <v>12.4</v>
      </c>
      <c r="DM28" s="39">
        <v>13.6</v>
      </c>
      <c r="DN28" s="39">
        <v>13.9</v>
      </c>
      <c r="DO28" s="39">
        <v>24.7</v>
      </c>
      <c r="DP28" s="39">
        <v>31</v>
      </c>
      <c r="DQ28" s="39">
        <v>32.9</v>
      </c>
      <c r="DR28" s="39">
        <v>34.1</v>
      </c>
      <c r="DS28" s="39">
        <v>24.2</v>
      </c>
      <c r="DT28" s="39">
        <v>27.6</v>
      </c>
      <c r="DU28" s="39">
        <v>23.1</v>
      </c>
      <c r="DV28" s="39">
        <v>13.9</v>
      </c>
      <c r="DW28" s="45">
        <v>444</v>
      </c>
      <c r="DX28" s="45">
        <v>12</v>
      </c>
      <c r="DY28" s="15">
        <v>9</v>
      </c>
      <c r="DZ28" s="45">
        <v>6</v>
      </c>
      <c r="EA28" s="45">
        <v>23</v>
      </c>
      <c r="EB28" s="45">
        <v>15</v>
      </c>
      <c r="EC28" s="45">
        <v>13</v>
      </c>
      <c r="ED28" s="45">
        <v>13</v>
      </c>
      <c r="EE28" s="45">
        <v>13</v>
      </c>
      <c r="EF28" s="104">
        <v>2291</v>
      </c>
      <c r="EG28" s="104">
        <v>2092</v>
      </c>
      <c r="EH28" s="104">
        <v>2332</v>
      </c>
      <c r="EI28" s="104">
        <v>2391</v>
      </c>
      <c r="EJ28" s="174">
        <v>483</v>
      </c>
      <c r="EK28" s="174">
        <v>3</v>
      </c>
      <c r="EL28" s="174">
        <v>6</v>
      </c>
      <c r="EM28" s="174"/>
      <c r="EN28" s="174">
        <v>1</v>
      </c>
      <c r="EO28" s="39">
        <v>1038.367</v>
      </c>
      <c r="EP28" s="39">
        <v>917.846</v>
      </c>
      <c r="EQ28" s="39">
        <v>1009.895</v>
      </c>
      <c r="ER28" s="39">
        <v>1029.827</v>
      </c>
      <c r="ES28" s="39">
        <v>814.77099999999996</v>
      </c>
      <c r="ET28" s="39">
        <v>688.80799999999999</v>
      </c>
      <c r="EU28" s="39">
        <v>693.30100000000004</v>
      </c>
      <c r="EV28" s="39">
        <v>671.20899999999995</v>
      </c>
      <c r="EW28" s="39">
        <v>981.08699999999999</v>
      </c>
      <c r="EX28" s="39">
        <v>831.81700000000001</v>
      </c>
      <c r="EY28" s="39">
        <v>804.96100000000001</v>
      </c>
      <c r="EZ28" s="39">
        <v>813.86300000000006</v>
      </c>
      <c r="FA28" s="39">
        <v>688.49199999999996</v>
      </c>
      <c r="FB28" s="39">
        <v>577.96299999999997</v>
      </c>
      <c r="FC28" s="39">
        <v>600.03099999999995</v>
      </c>
      <c r="FD28" s="39">
        <v>556.56899999999996</v>
      </c>
      <c r="FE28" s="44">
        <v>456</v>
      </c>
      <c r="FF28" s="44">
        <v>490</v>
      </c>
      <c r="FG28" s="44">
        <v>533</v>
      </c>
      <c r="FH28" s="44">
        <v>538</v>
      </c>
      <c r="FI28" s="39">
        <v>173.51599999999999</v>
      </c>
      <c r="FJ28" s="39">
        <v>172.44399999999999</v>
      </c>
      <c r="FK28" s="39">
        <v>167.101</v>
      </c>
      <c r="FL28" s="39">
        <v>154.13999999999999</v>
      </c>
      <c r="FM28" s="45">
        <v>552</v>
      </c>
      <c r="FN28" s="45">
        <v>443</v>
      </c>
      <c r="FO28" s="36">
        <v>452</v>
      </c>
      <c r="FP28" s="45">
        <v>565</v>
      </c>
      <c r="FQ28" s="39">
        <v>188.30199999999999</v>
      </c>
      <c r="FR28" s="39">
        <v>137.93299999999999</v>
      </c>
      <c r="FS28" s="39">
        <v>127.456</v>
      </c>
      <c r="FT28" s="39">
        <v>149.374</v>
      </c>
      <c r="FU28" s="43">
        <v>172</v>
      </c>
      <c r="FV28" s="43">
        <v>129</v>
      </c>
      <c r="FW28" s="43">
        <v>128</v>
      </c>
      <c r="FX28" s="45">
        <v>135</v>
      </c>
      <c r="FY28" s="39">
        <v>57.661999999999999</v>
      </c>
      <c r="FZ28" s="39">
        <v>40.530999999999999</v>
      </c>
      <c r="GA28" s="39">
        <v>35.619999999999997</v>
      </c>
      <c r="GB28" s="39">
        <v>35.899000000000001</v>
      </c>
      <c r="GC28" s="150">
        <v>155</v>
      </c>
      <c r="GD28" s="150">
        <v>147</v>
      </c>
      <c r="GE28" s="150">
        <v>173</v>
      </c>
      <c r="GF28" s="150">
        <v>166</v>
      </c>
      <c r="GG28" s="182">
        <v>60.585999999999999</v>
      </c>
      <c r="GH28" s="182">
        <v>52.668999999999997</v>
      </c>
      <c r="GI28" s="182">
        <v>56.927</v>
      </c>
      <c r="GJ28" s="182">
        <v>52.527000000000001</v>
      </c>
      <c r="GK28" s="182"/>
      <c r="GL28" s="114"/>
      <c r="GM28" s="114"/>
      <c r="GN28" s="114"/>
      <c r="GP28" s="114"/>
      <c r="GQ28" s="114"/>
      <c r="GR28" s="114"/>
      <c r="GS28" s="114"/>
      <c r="GU28" s="114"/>
      <c r="GV28" s="114"/>
      <c r="GW28" s="114"/>
      <c r="GX28" s="114"/>
      <c r="HE28" s="113"/>
      <c r="HF28" s="113"/>
      <c r="HG28" s="113"/>
      <c r="HH28" s="113"/>
      <c r="HI28" s="113"/>
      <c r="HJ28" s="115"/>
      <c r="HK28" s="115"/>
      <c r="HL28" s="114"/>
      <c r="HV28" s="116"/>
    </row>
    <row r="29" spans="1:230" x14ac:dyDescent="0.2">
      <c r="A29" s="128">
        <v>26</v>
      </c>
      <c r="B29" s="129" t="s">
        <v>72</v>
      </c>
      <c r="C29" s="117">
        <v>5989</v>
      </c>
      <c r="D29" s="117">
        <v>5956</v>
      </c>
      <c r="E29" s="117">
        <v>5903</v>
      </c>
      <c r="F29" s="117">
        <v>5956</v>
      </c>
      <c r="G29" s="151">
        <v>5941</v>
      </c>
      <c r="H29" s="155">
        <v>5692</v>
      </c>
      <c r="I29" s="155">
        <v>54</v>
      </c>
      <c r="J29" s="155">
        <v>21</v>
      </c>
      <c r="K29" s="155">
        <v>27</v>
      </c>
      <c r="L29" s="155">
        <v>147</v>
      </c>
      <c r="M29" s="40">
        <v>2617</v>
      </c>
      <c r="N29" s="40">
        <v>2609</v>
      </c>
      <c r="O29" s="40">
        <v>2592</v>
      </c>
      <c r="P29" s="106">
        <v>2598</v>
      </c>
      <c r="Q29" s="106">
        <v>2614</v>
      </c>
      <c r="R29" s="51">
        <v>39.299999999999997</v>
      </c>
      <c r="S29" s="51">
        <v>39.799999999999997</v>
      </c>
      <c r="T29" s="51">
        <v>40.310304449648712</v>
      </c>
      <c r="U29" s="51">
        <v>41.006770680011769</v>
      </c>
      <c r="V29" s="51">
        <v>40.652557319223988</v>
      </c>
      <c r="W29" s="38">
        <v>30.6</v>
      </c>
      <c r="X29" s="38">
        <v>31.2</v>
      </c>
      <c r="Y29" s="38">
        <v>32.494145199063233</v>
      </c>
      <c r="Z29" s="38">
        <v>34.324403885781571</v>
      </c>
      <c r="AA29" s="38">
        <v>33.980011757789534</v>
      </c>
      <c r="AB29" s="51">
        <v>69.900000000000006</v>
      </c>
      <c r="AC29" s="51">
        <v>71.099999999999994</v>
      </c>
      <c r="AD29" s="51">
        <v>72.804449648711937</v>
      </c>
      <c r="AE29" s="51">
        <v>75.331174565793347</v>
      </c>
      <c r="AF29" s="51">
        <v>74.632569077013528</v>
      </c>
      <c r="AG29" s="39">
        <v>5.9</v>
      </c>
      <c r="AH29" s="39">
        <v>4.918032786885246</v>
      </c>
      <c r="AI29" s="39">
        <v>4.832493329380374</v>
      </c>
      <c r="AJ29" s="39">
        <v>4.7400611620795106</v>
      </c>
      <c r="AK29" s="39">
        <v>4.3385273449434774</v>
      </c>
      <c r="AL29" s="43">
        <v>249.91666666666666</v>
      </c>
      <c r="AM29" s="43">
        <v>226.33333333333334</v>
      </c>
      <c r="AN29" s="43">
        <v>209.91666666666666</v>
      </c>
      <c r="AO29" s="43">
        <v>216.16666666666666</v>
      </c>
      <c r="AP29" s="43">
        <v>233.58333333333334</v>
      </c>
      <c r="AQ29" s="190">
        <v>52603.73620862588</v>
      </c>
      <c r="AR29" s="190">
        <v>47052.269443977828</v>
      </c>
      <c r="AS29" s="190">
        <v>49662.38856753998</v>
      </c>
      <c r="AT29" s="190">
        <v>48491.625251846875</v>
      </c>
      <c r="AU29" s="190">
        <v>49123.79</v>
      </c>
      <c r="AV29" s="162">
        <v>49996.800000000003</v>
      </c>
      <c r="AW29" s="162">
        <v>51602.720000000001</v>
      </c>
      <c r="AX29" s="162">
        <v>50106.16</v>
      </c>
      <c r="AY29" s="161">
        <v>52087.1</v>
      </c>
      <c r="AZ29" s="161">
        <v>50943</v>
      </c>
      <c r="BA29" s="49">
        <v>10.7</v>
      </c>
      <c r="BB29" s="49">
        <v>10.5</v>
      </c>
      <c r="BC29" s="49">
        <v>10.6</v>
      </c>
      <c r="BD29" s="49">
        <v>12</v>
      </c>
      <c r="BE29" s="49">
        <v>9.1999999999999993</v>
      </c>
      <c r="BF29" s="42">
        <v>16.399999999999999</v>
      </c>
      <c r="BG29" s="42">
        <v>17.3</v>
      </c>
      <c r="BH29" s="42">
        <v>15.1</v>
      </c>
      <c r="BI29" s="42">
        <v>18.7</v>
      </c>
      <c r="BJ29" s="42">
        <v>13.1</v>
      </c>
      <c r="BK29" s="36">
        <v>1078</v>
      </c>
      <c r="BL29" s="36">
        <v>1079</v>
      </c>
      <c r="BM29" s="36">
        <v>1073</v>
      </c>
      <c r="BN29" s="36">
        <v>990</v>
      </c>
      <c r="BO29" s="40">
        <v>37.291280148423006</v>
      </c>
      <c r="BP29" s="40">
        <v>36.793327154772939</v>
      </c>
      <c r="BQ29" s="40">
        <v>35.601118359739047</v>
      </c>
      <c r="BR29" s="40">
        <v>36.666666666666664</v>
      </c>
      <c r="BS29" s="51">
        <v>0</v>
      </c>
      <c r="BT29" s="51">
        <v>0.74142724745134381</v>
      </c>
      <c r="BU29" s="51">
        <v>0.83876980428704562</v>
      </c>
      <c r="BV29" s="51">
        <v>0.10101010101010101</v>
      </c>
      <c r="BW29" s="39">
        <v>12.523191094619666</v>
      </c>
      <c r="BX29" s="39">
        <v>12.696941612604263</v>
      </c>
      <c r="BY29" s="39">
        <v>13.699906803355079</v>
      </c>
      <c r="BZ29" s="39">
        <v>15.353535353535353</v>
      </c>
      <c r="CA29" s="40">
        <v>95</v>
      </c>
      <c r="CB29" s="40">
        <v>91.304347826086953</v>
      </c>
      <c r="CC29" s="40">
        <v>95.52</v>
      </c>
      <c r="CD29" s="40">
        <v>98.53</v>
      </c>
      <c r="CE29" s="40">
        <v>2.5</v>
      </c>
      <c r="CF29" s="40">
        <v>2.816901408450704</v>
      </c>
      <c r="CG29" s="40">
        <v>1.49</v>
      </c>
      <c r="CH29" s="40">
        <v>1.47</v>
      </c>
      <c r="CI29" s="105">
        <v>289</v>
      </c>
      <c r="CJ29" s="105">
        <v>352</v>
      </c>
      <c r="CK29" s="104">
        <v>319</v>
      </c>
      <c r="CL29" s="104">
        <v>359</v>
      </c>
      <c r="CM29" s="39">
        <v>9.3000804505229286</v>
      </c>
      <c r="CN29" s="39">
        <v>14.467140684723192</v>
      </c>
      <c r="CO29" s="39">
        <v>10.707931925749387</v>
      </c>
      <c r="CP29" s="39">
        <v>12.069255337031434</v>
      </c>
      <c r="CQ29" s="104">
        <v>16</v>
      </c>
      <c r="CR29" s="104">
        <v>14</v>
      </c>
      <c r="CS29" s="104">
        <v>14</v>
      </c>
      <c r="CT29" s="104">
        <v>20</v>
      </c>
      <c r="CU29" s="39">
        <v>5.8</v>
      </c>
      <c r="CV29" s="39">
        <v>4.2</v>
      </c>
      <c r="CW29" s="39">
        <v>4.5</v>
      </c>
      <c r="CX29" s="39">
        <v>5.8</v>
      </c>
      <c r="CY29" s="36">
        <v>25</v>
      </c>
      <c r="CZ29" s="104">
        <v>17</v>
      </c>
      <c r="DA29" s="104">
        <v>15</v>
      </c>
      <c r="DB29" s="104">
        <v>27</v>
      </c>
      <c r="DC29" s="39">
        <v>9.1</v>
      </c>
      <c r="DD29" s="39">
        <v>5.0999999999999996</v>
      </c>
      <c r="DE29" s="39">
        <v>4.8</v>
      </c>
      <c r="DF29" s="39">
        <v>7.9</v>
      </c>
      <c r="DG29" s="39">
        <v>88.9</v>
      </c>
      <c r="DH29" s="39">
        <v>92.3</v>
      </c>
      <c r="DI29" s="39">
        <v>90.1</v>
      </c>
      <c r="DJ29" s="39">
        <v>88.8</v>
      </c>
      <c r="DK29" s="39">
        <v>14.7</v>
      </c>
      <c r="DL29" s="39">
        <v>12.8</v>
      </c>
      <c r="DM29" s="39">
        <v>9.1</v>
      </c>
      <c r="DN29" s="39">
        <v>11.7</v>
      </c>
      <c r="DO29" s="39">
        <v>21.8</v>
      </c>
      <c r="DP29" s="39">
        <v>25.6</v>
      </c>
      <c r="DQ29" s="39">
        <v>24.8</v>
      </c>
      <c r="DR29" s="39">
        <v>27.9</v>
      </c>
      <c r="DS29" s="39">
        <v>13.5</v>
      </c>
      <c r="DT29" s="39">
        <v>20.5</v>
      </c>
      <c r="DU29" s="39">
        <v>17.899999999999999</v>
      </c>
      <c r="DV29" s="39">
        <v>14.1</v>
      </c>
      <c r="DW29" s="45">
        <v>56</v>
      </c>
      <c r="DX29" s="45">
        <v>1</v>
      </c>
      <c r="DY29" s="15">
        <v>1</v>
      </c>
      <c r="DZ29" s="45">
        <v>0</v>
      </c>
      <c r="EA29" s="45">
        <v>2</v>
      </c>
      <c r="EB29" s="45"/>
      <c r="EC29" s="45"/>
      <c r="ED29" s="45">
        <v>1</v>
      </c>
      <c r="EE29" s="45">
        <v>3</v>
      </c>
      <c r="EF29" s="104">
        <v>424</v>
      </c>
      <c r="EG29" s="104">
        <v>429</v>
      </c>
      <c r="EH29" s="104">
        <v>385</v>
      </c>
      <c r="EI29" s="104">
        <v>349</v>
      </c>
      <c r="EJ29" s="174">
        <v>65</v>
      </c>
      <c r="EK29" s="174">
        <v>1</v>
      </c>
      <c r="EL29" s="174"/>
      <c r="EM29" s="174"/>
      <c r="EN29" s="174"/>
      <c r="EO29" s="39">
        <v>1348.386</v>
      </c>
      <c r="EP29" s="39">
        <v>1403.337</v>
      </c>
      <c r="EQ29" s="39">
        <v>1279.4949999999999</v>
      </c>
      <c r="ER29" s="39">
        <v>1182.45</v>
      </c>
      <c r="ES29" s="39">
        <v>727.96199999999999</v>
      </c>
      <c r="ET29" s="39">
        <v>726.40499999999997</v>
      </c>
      <c r="EU29" s="39">
        <v>714.51800000000003</v>
      </c>
      <c r="EV29" s="39">
        <v>652.46299999999997</v>
      </c>
      <c r="EW29" s="39">
        <v>906.01499999999999</v>
      </c>
      <c r="EX29" s="39">
        <v>905.91800000000001</v>
      </c>
      <c r="EY29" s="39">
        <v>827.52499999999998</v>
      </c>
      <c r="EZ29" s="39">
        <v>783.923</v>
      </c>
      <c r="FA29" s="39">
        <v>589.38699999999994</v>
      </c>
      <c r="FB29" s="39">
        <v>570.673</v>
      </c>
      <c r="FC29" s="39">
        <v>611.16</v>
      </c>
      <c r="FD29" s="39">
        <v>530.38400000000001</v>
      </c>
      <c r="FE29" s="44">
        <v>79</v>
      </c>
      <c r="FF29" s="44">
        <v>98</v>
      </c>
      <c r="FG29" s="44">
        <v>91</v>
      </c>
      <c r="FH29" s="44">
        <v>81</v>
      </c>
      <c r="FI29" s="39">
        <v>149.06399999999999</v>
      </c>
      <c r="FJ29" s="39">
        <v>190.02199999999999</v>
      </c>
      <c r="FK29" s="39">
        <v>175.25399999999999</v>
      </c>
      <c r="FL29" s="39">
        <v>161.82400000000001</v>
      </c>
      <c r="FM29" s="45">
        <v>127</v>
      </c>
      <c r="FN29" s="45">
        <v>123</v>
      </c>
      <c r="FO29" s="36">
        <v>87</v>
      </c>
      <c r="FP29" s="45">
        <v>94</v>
      </c>
      <c r="FQ29" s="39">
        <v>208.57400000000001</v>
      </c>
      <c r="FR29" s="39">
        <v>192.18199999999999</v>
      </c>
      <c r="FS29" s="39">
        <v>148.06200000000001</v>
      </c>
      <c r="FT29" s="39">
        <v>165.13800000000001</v>
      </c>
      <c r="FU29" s="43">
        <v>29</v>
      </c>
      <c r="FV29" s="43">
        <v>23</v>
      </c>
      <c r="FW29" s="43">
        <v>22</v>
      </c>
      <c r="FX29" s="45">
        <v>10</v>
      </c>
      <c r="FY29" s="39">
        <v>44.753</v>
      </c>
      <c r="FZ29" s="39">
        <v>31.553999999999998</v>
      </c>
      <c r="GA29" s="39">
        <v>39.384999999999998</v>
      </c>
      <c r="GB29" s="39">
        <v>17.379000000000001</v>
      </c>
      <c r="GC29" s="150">
        <v>26</v>
      </c>
      <c r="GD29" s="150">
        <v>14</v>
      </c>
      <c r="GE29" s="150">
        <v>17</v>
      </c>
      <c r="GF29" s="150">
        <v>9</v>
      </c>
      <c r="GG29" s="182">
        <v>68.587999999999994</v>
      </c>
      <c r="GH29" s="182">
        <v>43.363999999999997</v>
      </c>
      <c r="GI29" s="182">
        <v>41.395000000000003</v>
      </c>
      <c r="GJ29" s="182">
        <v>19.510999999999999</v>
      </c>
      <c r="GK29" s="182"/>
      <c r="GL29" s="114"/>
      <c r="GM29" s="114"/>
      <c r="GN29" s="114"/>
      <c r="GP29" s="114"/>
      <c r="GQ29" s="114"/>
      <c r="GR29" s="114"/>
      <c r="GS29" s="114"/>
      <c r="GU29" s="114"/>
      <c r="GV29" s="114"/>
      <c r="GW29" s="114"/>
      <c r="GX29" s="114"/>
      <c r="HE29" s="113"/>
      <c r="HF29" s="113"/>
      <c r="HG29" s="113"/>
      <c r="HH29" s="113"/>
      <c r="HI29" s="113"/>
      <c r="HJ29" s="115"/>
      <c r="HK29" s="115"/>
      <c r="HL29" s="114"/>
      <c r="HV29" s="116"/>
    </row>
    <row r="30" spans="1:230" ht="21" customHeight="1" x14ac:dyDescent="0.2">
      <c r="A30" s="128">
        <v>27</v>
      </c>
      <c r="B30" s="129" t="s">
        <v>73</v>
      </c>
      <c r="C30" s="117">
        <v>1198778</v>
      </c>
      <c r="D30" s="117">
        <v>1212064</v>
      </c>
      <c r="E30" s="117">
        <v>1223149</v>
      </c>
      <c r="F30" s="117">
        <v>1232483</v>
      </c>
      <c r="G30" s="151">
        <v>1252024</v>
      </c>
      <c r="H30" s="155">
        <v>879371</v>
      </c>
      <c r="I30" s="155">
        <v>176162</v>
      </c>
      <c r="J30" s="155">
        <v>10656</v>
      </c>
      <c r="K30" s="155">
        <v>98723</v>
      </c>
      <c r="L30" s="155">
        <v>87112</v>
      </c>
      <c r="M30" s="40">
        <v>491535</v>
      </c>
      <c r="N30" s="40">
        <v>499094</v>
      </c>
      <c r="O30" s="40">
        <v>504178</v>
      </c>
      <c r="P30" s="106">
        <v>511519</v>
      </c>
      <c r="Q30" s="106">
        <v>513638</v>
      </c>
      <c r="R30" s="51">
        <v>17.7</v>
      </c>
      <c r="S30" s="51">
        <v>18.2</v>
      </c>
      <c r="T30" s="51">
        <v>18.777331719076241</v>
      </c>
      <c r="U30" s="51">
        <v>19.411620331648642</v>
      </c>
      <c r="V30" s="51">
        <v>20.13175736570091</v>
      </c>
      <c r="W30" s="38">
        <v>27.4</v>
      </c>
      <c r="X30" s="38">
        <v>27.4</v>
      </c>
      <c r="Y30" s="38">
        <v>27.408029773721154</v>
      </c>
      <c r="Z30" s="38">
        <v>27.431069363128813</v>
      </c>
      <c r="AA30" s="38">
        <v>27.367691878143287</v>
      </c>
      <c r="AB30" s="51">
        <v>45</v>
      </c>
      <c r="AC30" s="51">
        <v>45.6</v>
      </c>
      <c r="AD30" s="51">
        <v>46.185361492797398</v>
      </c>
      <c r="AE30" s="51">
        <v>46.842689694777448</v>
      </c>
      <c r="AF30" s="51">
        <v>47.499449243844197</v>
      </c>
      <c r="AG30" s="39">
        <v>4.7</v>
      </c>
      <c r="AH30" s="39">
        <v>3.7042823092511092</v>
      </c>
      <c r="AI30" s="39">
        <v>3.2845313582979299</v>
      </c>
      <c r="AJ30" s="39">
        <v>3.3651560096277704</v>
      </c>
      <c r="AK30" s="39">
        <v>3.1383453880068002</v>
      </c>
      <c r="AL30" s="43">
        <v>74548</v>
      </c>
      <c r="AM30" s="43">
        <v>66721.583333333328</v>
      </c>
      <c r="AN30" s="43">
        <v>62364.333333333336</v>
      </c>
      <c r="AO30" s="43">
        <v>59493.333333333336</v>
      </c>
      <c r="AP30" s="43">
        <v>57411.5</v>
      </c>
      <c r="AQ30" s="190">
        <v>63002.529911506492</v>
      </c>
      <c r="AR30" s="190">
        <v>66125.49641276797</v>
      </c>
      <c r="AS30" s="190">
        <v>68975.10939736609</v>
      </c>
      <c r="AT30" s="190">
        <v>69450.12987603074</v>
      </c>
      <c r="AU30" s="190">
        <v>73199.009999999995</v>
      </c>
      <c r="AV30" s="162">
        <v>65625</v>
      </c>
      <c r="AW30" s="162">
        <v>66904.240000000005</v>
      </c>
      <c r="AX30" s="162">
        <v>67069.600000000006</v>
      </c>
      <c r="AY30" s="161">
        <v>70969.06</v>
      </c>
      <c r="AZ30" s="161">
        <v>74568</v>
      </c>
      <c r="BA30" s="49">
        <v>12.2</v>
      </c>
      <c r="BB30" s="49">
        <v>13</v>
      </c>
      <c r="BC30" s="49">
        <v>10.9</v>
      </c>
      <c r="BD30" s="49">
        <v>10.9</v>
      </c>
      <c r="BE30" s="49">
        <v>10.5</v>
      </c>
      <c r="BF30" s="42">
        <v>15.3</v>
      </c>
      <c r="BG30" s="42">
        <v>17.100000000000001</v>
      </c>
      <c r="BH30" s="42">
        <v>13.9</v>
      </c>
      <c r="BI30" s="42">
        <v>14</v>
      </c>
      <c r="BJ30" s="42">
        <v>13.7</v>
      </c>
      <c r="BK30" s="36">
        <v>164151</v>
      </c>
      <c r="BL30" s="36">
        <v>166106</v>
      </c>
      <c r="BM30" s="36">
        <v>165345</v>
      </c>
      <c r="BN30" s="36">
        <v>181057</v>
      </c>
      <c r="BO30" s="40">
        <v>43.13650236672332</v>
      </c>
      <c r="BP30" s="40">
        <v>42.95510095962819</v>
      </c>
      <c r="BQ30" s="40">
        <v>42.483897305633676</v>
      </c>
      <c r="BR30" s="40">
        <v>41.025202008207359</v>
      </c>
      <c r="BS30" s="51">
        <v>14.252730717449177</v>
      </c>
      <c r="BT30" s="51">
        <v>14.413085620025766</v>
      </c>
      <c r="BU30" s="51">
        <v>13.75729535214249</v>
      </c>
      <c r="BV30" s="51">
        <v>13.538830313105818</v>
      </c>
      <c r="BW30" s="39">
        <v>13.936558412681007</v>
      </c>
      <c r="BX30" s="39">
        <v>13.974209239882967</v>
      </c>
      <c r="BY30" s="39">
        <v>12.601530133962321</v>
      </c>
      <c r="BZ30" s="39">
        <v>13.955826065824576</v>
      </c>
      <c r="CA30" s="40">
        <v>77.383872166480856</v>
      </c>
      <c r="CB30" s="40">
        <v>77.671623391632636</v>
      </c>
      <c r="CC30" s="40">
        <v>77.72</v>
      </c>
      <c r="CD30" s="40">
        <v>79.16</v>
      </c>
      <c r="CE30" s="40">
        <v>4.3106651802303979</v>
      </c>
      <c r="CF30" s="40">
        <v>5.8480429777436687</v>
      </c>
      <c r="CG30" s="40">
        <v>4.5199999999999996</v>
      </c>
      <c r="CH30" s="40">
        <v>4.42</v>
      </c>
      <c r="CI30" s="105">
        <v>80629</v>
      </c>
      <c r="CJ30" s="105">
        <v>83134</v>
      </c>
      <c r="CK30" s="104">
        <v>81143</v>
      </c>
      <c r="CL30" s="104">
        <v>82990</v>
      </c>
      <c r="CM30" s="39">
        <v>14.69519352040184</v>
      </c>
      <c r="CN30" s="39">
        <v>18.478521558238107</v>
      </c>
      <c r="CO30" s="39">
        <v>13.983826649699653</v>
      </c>
      <c r="CP30" s="39">
        <v>13.563786406402356</v>
      </c>
      <c r="CQ30" s="104">
        <v>3869</v>
      </c>
      <c r="CR30" s="104">
        <v>4330</v>
      </c>
      <c r="CS30" s="104">
        <v>4219</v>
      </c>
      <c r="CT30" s="104">
        <v>4380</v>
      </c>
      <c r="CU30" s="39">
        <v>5</v>
      </c>
      <c r="CV30" s="39">
        <v>5.4</v>
      </c>
      <c r="CW30" s="39">
        <v>5.4</v>
      </c>
      <c r="CX30" s="39">
        <v>5.5</v>
      </c>
      <c r="CY30" s="45">
        <v>5106</v>
      </c>
      <c r="CZ30" s="104">
        <v>5986</v>
      </c>
      <c r="DA30" s="104">
        <v>5384</v>
      </c>
      <c r="DB30" s="104">
        <v>5587</v>
      </c>
      <c r="DC30" s="39">
        <v>7.6</v>
      </c>
      <c r="DD30" s="39">
        <v>8.6</v>
      </c>
      <c r="DE30" s="39">
        <v>7.6</v>
      </c>
      <c r="DF30" s="39">
        <v>7</v>
      </c>
      <c r="DG30" s="39">
        <v>82.8</v>
      </c>
      <c r="DH30" s="39">
        <v>84.6</v>
      </c>
      <c r="DI30" s="39">
        <v>85.1</v>
      </c>
      <c r="DJ30" s="39">
        <v>79.5</v>
      </c>
      <c r="DK30" s="39">
        <v>7.2</v>
      </c>
      <c r="DL30" s="39">
        <v>4.4000000000000004</v>
      </c>
      <c r="DM30" s="39">
        <v>5.5</v>
      </c>
      <c r="DN30" s="39">
        <v>4.7</v>
      </c>
      <c r="DO30" s="39">
        <v>28</v>
      </c>
      <c r="DP30" s="39">
        <v>32.5</v>
      </c>
      <c r="DQ30" s="39">
        <v>34.200000000000003</v>
      </c>
      <c r="DR30" s="39">
        <v>31</v>
      </c>
      <c r="DS30" s="39">
        <v>34.5</v>
      </c>
      <c r="DT30" s="39">
        <v>31.5</v>
      </c>
      <c r="DU30" s="39">
        <v>23.9</v>
      </c>
      <c r="DV30" s="39">
        <v>14.4</v>
      </c>
      <c r="DW30" s="45">
        <v>9097</v>
      </c>
      <c r="DX30" s="45">
        <v>3714</v>
      </c>
      <c r="DY30" s="15">
        <v>148</v>
      </c>
      <c r="DZ30" s="45">
        <v>1781</v>
      </c>
      <c r="EA30" s="45">
        <v>1423</v>
      </c>
      <c r="EB30" s="45">
        <v>481</v>
      </c>
      <c r="EC30" s="45">
        <v>421</v>
      </c>
      <c r="ED30" s="45">
        <v>437</v>
      </c>
      <c r="EE30" s="45">
        <v>424</v>
      </c>
      <c r="EF30" s="104">
        <v>40041</v>
      </c>
      <c r="EG30" s="104">
        <v>38017</v>
      </c>
      <c r="EH30" s="104">
        <v>38837</v>
      </c>
      <c r="EI30" s="104">
        <v>42113</v>
      </c>
      <c r="EJ30" s="174">
        <v>7631</v>
      </c>
      <c r="EK30" s="174">
        <v>777</v>
      </c>
      <c r="EL30" s="174">
        <v>124</v>
      </c>
      <c r="EM30" s="174">
        <v>231</v>
      </c>
      <c r="EN30" s="174">
        <v>88</v>
      </c>
      <c r="EO30" s="39">
        <v>717.452</v>
      </c>
      <c r="EP30" s="39">
        <v>679.26099999999997</v>
      </c>
      <c r="EQ30" s="39">
        <v>674.005</v>
      </c>
      <c r="ER30" s="39">
        <v>688.6</v>
      </c>
      <c r="ES30" s="39">
        <v>766.46400000000006</v>
      </c>
      <c r="ET30" s="39">
        <v>678.64700000000005</v>
      </c>
      <c r="EU30" s="39">
        <v>654.40099999999995</v>
      </c>
      <c r="EV30" s="39">
        <v>635.98099999999999</v>
      </c>
      <c r="EW30" s="39">
        <v>928.18499999999995</v>
      </c>
      <c r="EX30" s="39">
        <v>815.197</v>
      </c>
      <c r="EY30" s="39">
        <v>762.35799999999995</v>
      </c>
      <c r="EZ30" s="39">
        <v>746.55600000000004</v>
      </c>
      <c r="FA30" s="39">
        <v>652.21500000000003</v>
      </c>
      <c r="FB30" s="39">
        <v>581.71799999999996</v>
      </c>
      <c r="FC30" s="39">
        <v>569.75300000000004</v>
      </c>
      <c r="FD30" s="39">
        <v>548.76499999999999</v>
      </c>
      <c r="FE30" s="44">
        <v>9561</v>
      </c>
      <c r="FF30" s="44">
        <v>9268</v>
      </c>
      <c r="FG30" s="44">
        <v>9348</v>
      </c>
      <c r="FH30" s="44">
        <v>9504</v>
      </c>
      <c r="FI30" s="39">
        <v>189.16900000000001</v>
      </c>
      <c r="FJ30" s="39">
        <v>172.45500000000001</v>
      </c>
      <c r="FK30" s="39">
        <v>163.232</v>
      </c>
      <c r="FL30" s="39">
        <v>146.39099999999999</v>
      </c>
      <c r="FM30" s="45">
        <v>7793</v>
      </c>
      <c r="FN30" s="45">
        <v>6482</v>
      </c>
      <c r="FO30" s="45">
        <v>5973</v>
      </c>
      <c r="FP30" s="45">
        <v>6736</v>
      </c>
      <c r="FQ30" s="39">
        <v>148.68</v>
      </c>
      <c r="FR30" s="39">
        <v>113.54300000000001</v>
      </c>
      <c r="FS30" s="39">
        <v>98.587000000000003</v>
      </c>
      <c r="FT30" s="39">
        <v>99.81</v>
      </c>
      <c r="FU30" s="43">
        <v>2841</v>
      </c>
      <c r="FV30" s="43">
        <v>2270</v>
      </c>
      <c r="FW30" s="43">
        <v>2003</v>
      </c>
      <c r="FX30" s="45">
        <v>2125</v>
      </c>
      <c r="FY30" s="39">
        <v>53.844000000000001</v>
      </c>
      <c r="FZ30" s="39">
        <v>40.159999999999997</v>
      </c>
      <c r="GA30" s="39">
        <v>33.402999999999999</v>
      </c>
      <c r="GB30" s="39">
        <v>31.927</v>
      </c>
      <c r="GC30" s="150">
        <v>1909</v>
      </c>
      <c r="GD30" s="150">
        <v>2053</v>
      </c>
      <c r="GE30" s="150">
        <v>2400</v>
      </c>
      <c r="GF30" s="150">
        <v>2949</v>
      </c>
      <c r="GG30" s="182">
        <v>34.881999999999998</v>
      </c>
      <c r="GH30" s="182">
        <v>35.579000000000001</v>
      </c>
      <c r="GI30" s="182">
        <v>39.933999999999997</v>
      </c>
      <c r="GJ30" s="182">
        <v>44.774000000000001</v>
      </c>
      <c r="GK30" s="182"/>
      <c r="GL30" s="114"/>
      <c r="GM30" s="114"/>
      <c r="GN30" s="114"/>
      <c r="GP30" s="114"/>
      <c r="GQ30" s="114"/>
      <c r="GR30" s="114"/>
      <c r="GS30" s="114"/>
      <c r="GU30" s="114"/>
      <c r="GV30" s="114"/>
      <c r="GW30" s="114"/>
      <c r="GX30" s="114"/>
      <c r="HE30" s="113"/>
      <c r="HF30" s="113"/>
      <c r="HG30" s="113"/>
      <c r="HH30" s="113"/>
      <c r="HI30" s="113"/>
      <c r="HJ30" s="115"/>
      <c r="HK30" s="115"/>
      <c r="HL30" s="114"/>
      <c r="HV30" s="116"/>
    </row>
    <row r="31" spans="1:230" x14ac:dyDescent="0.2">
      <c r="A31" s="128">
        <v>28</v>
      </c>
      <c r="B31" s="129" t="s">
        <v>74</v>
      </c>
      <c r="C31" s="117">
        <v>18799</v>
      </c>
      <c r="D31" s="117">
        <v>18738</v>
      </c>
      <c r="E31" s="117">
        <v>18773</v>
      </c>
      <c r="F31" s="117">
        <v>18814</v>
      </c>
      <c r="G31" s="151">
        <v>18660</v>
      </c>
      <c r="H31" s="155">
        <v>18073</v>
      </c>
      <c r="I31" s="155">
        <v>213</v>
      </c>
      <c r="J31" s="155">
        <v>39</v>
      </c>
      <c r="K31" s="155">
        <v>120</v>
      </c>
      <c r="L31" s="155">
        <v>215</v>
      </c>
      <c r="M31" s="40">
        <v>7867</v>
      </c>
      <c r="N31" s="40">
        <v>7944</v>
      </c>
      <c r="O31" s="40">
        <v>7961</v>
      </c>
      <c r="P31" s="106">
        <v>7984</v>
      </c>
      <c r="Q31" s="106">
        <v>8002</v>
      </c>
      <c r="R31" s="51">
        <v>30.3</v>
      </c>
      <c r="S31" s="51">
        <v>30.8</v>
      </c>
      <c r="T31" s="51">
        <v>31.723784291940859</v>
      </c>
      <c r="U31" s="51">
        <v>32.806459926123182</v>
      </c>
      <c r="V31" s="51">
        <v>33.690818728747054</v>
      </c>
      <c r="W31" s="38">
        <v>27.9</v>
      </c>
      <c r="X31" s="38">
        <v>28.3</v>
      </c>
      <c r="Y31" s="38">
        <v>28.715494402187847</v>
      </c>
      <c r="Z31" s="38">
        <v>28.811957735589726</v>
      </c>
      <c r="AA31" s="38">
        <v>29.008631964425845</v>
      </c>
      <c r="AB31" s="51">
        <v>58.2</v>
      </c>
      <c r="AC31" s="51">
        <v>59.2</v>
      </c>
      <c r="AD31" s="51">
        <v>60.439278694128703</v>
      </c>
      <c r="AE31" s="51">
        <v>61.618417661712911</v>
      </c>
      <c r="AF31" s="51">
        <v>62.699450693172899</v>
      </c>
      <c r="AG31" s="39">
        <v>5.8</v>
      </c>
      <c r="AH31" s="39">
        <v>4.360298336201951</v>
      </c>
      <c r="AI31" s="39">
        <v>3.8468844984802431</v>
      </c>
      <c r="AJ31" s="39">
        <v>3.9881690678370383</v>
      </c>
      <c r="AK31" s="39">
        <v>3.5595633602278118</v>
      </c>
      <c r="AL31" s="43">
        <v>536.91666666666663</v>
      </c>
      <c r="AM31" s="43">
        <v>514.33333333333337</v>
      </c>
      <c r="AN31" s="43">
        <v>481.25</v>
      </c>
      <c r="AO31" s="43">
        <v>457.41666666666669</v>
      </c>
      <c r="AP31" s="43">
        <v>436.16666666666669</v>
      </c>
      <c r="AQ31" s="190">
        <v>45709.985120629186</v>
      </c>
      <c r="AR31" s="190">
        <v>47130.089128462401</v>
      </c>
      <c r="AS31" s="190">
        <v>48134.602024507192</v>
      </c>
      <c r="AT31" s="190">
        <v>48734.482300414587</v>
      </c>
      <c r="AU31" s="190">
        <v>50767.67</v>
      </c>
      <c r="AV31" s="162">
        <v>53049.15</v>
      </c>
      <c r="AW31" s="162">
        <v>53206.400000000001</v>
      </c>
      <c r="AX31" s="162">
        <v>62296</v>
      </c>
      <c r="AY31" s="161">
        <v>57964.28</v>
      </c>
      <c r="AZ31" s="161">
        <v>55558</v>
      </c>
      <c r="BA31" s="49">
        <v>10.4</v>
      </c>
      <c r="BB31" s="49">
        <v>8.4</v>
      </c>
      <c r="BC31" s="49">
        <v>8.1999999999999993</v>
      </c>
      <c r="BD31" s="49">
        <v>8.5</v>
      </c>
      <c r="BE31" s="49">
        <v>7.6</v>
      </c>
      <c r="BF31" s="42">
        <v>11.9</v>
      </c>
      <c r="BG31" s="42">
        <v>10.7</v>
      </c>
      <c r="BH31" s="42">
        <v>10.199999999999999</v>
      </c>
      <c r="BI31" s="42">
        <v>10.5</v>
      </c>
      <c r="BJ31" s="42">
        <v>8.9</v>
      </c>
      <c r="BK31" s="36">
        <v>4184</v>
      </c>
      <c r="BL31" s="36">
        <v>4175</v>
      </c>
      <c r="BM31" s="36">
        <v>4273</v>
      </c>
      <c r="BN31" s="36">
        <v>4286</v>
      </c>
      <c r="BO31" s="40">
        <v>27.174952198852772</v>
      </c>
      <c r="BP31" s="40">
        <v>26.251497005988025</v>
      </c>
      <c r="BQ31" s="40">
        <v>27.428036508307979</v>
      </c>
      <c r="BR31" s="40">
        <v>26.901539897340175</v>
      </c>
      <c r="BS31" s="51">
        <v>0.50191204588910132</v>
      </c>
      <c r="BT31" s="51">
        <v>0.59880239520958078</v>
      </c>
      <c r="BU31" s="51">
        <v>0.65527732272408146</v>
      </c>
      <c r="BV31" s="51">
        <v>0.65328978068128785</v>
      </c>
      <c r="BW31" s="39">
        <v>14.746653919694072</v>
      </c>
      <c r="BX31" s="39">
        <v>14.850299401197605</v>
      </c>
      <c r="BY31" s="39">
        <v>15.890475076058975</v>
      </c>
      <c r="BZ31" s="39">
        <v>17.218852076528233</v>
      </c>
      <c r="CA31" s="40">
        <v>69.298245614035096</v>
      </c>
      <c r="CB31" s="40">
        <v>66.740576496674052</v>
      </c>
      <c r="CC31" s="40">
        <v>65.89</v>
      </c>
      <c r="CD31" s="40">
        <v>73.95</v>
      </c>
      <c r="CE31" s="40">
        <v>12.280701754385964</v>
      </c>
      <c r="CF31" s="40">
        <v>20.815450643776824</v>
      </c>
      <c r="CG31" s="40">
        <v>15.08</v>
      </c>
      <c r="CH31" s="40">
        <v>11.26</v>
      </c>
      <c r="CI31" s="105">
        <v>1012</v>
      </c>
      <c r="CJ31" s="105">
        <v>1133</v>
      </c>
      <c r="CK31" s="104">
        <v>940</v>
      </c>
      <c r="CL31" s="104">
        <v>1019</v>
      </c>
      <c r="CM31" s="39">
        <v>10.304554572391533</v>
      </c>
      <c r="CN31" s="39">
        <v>14.309530425118089</v>
      </c>
      <c r="CO31" s="39">
        <v>9.8667982239763194</v>
      </c>
      <c r="CP31" s="39">
        <v>10.865392817538172</v>
      </c>
      <c r="CQ31" s="104">
        <v>60</v>
      </c>
      <c r="CR31" s="104">
        <v>46</v>
      </c>
      <c r="CS31" s="104">
        <v>43</v>
      </c>
      <c r="CT31" s="104">
        <v>28</v>
      </c>
      <c r="CU31" s="39">
        <v>6.3</v>
      </c>
      <c r="CV31" s="39">
        <v>4.2</v>
      </c>
      <c r="CW31" s="39">
        <v>4.8</v>
      </c>
      <c r="CX31" s="39">
        <v>2.8</v>
      </c>
      <c r="CY31" s="36">
        <v>79</v>
      </c>
      <c r="CZ31" s="104">
        <v>78</v>
      </c>
      <c r="DA31" s="104">
        <v>53</v>
      </c>
      <c r="DB31" s="104">
        <v>49</v>
      </c>
      <c r="DC31" s="39">
        <v>8.8000000000000007</v>
      </c>
      <c r="DD31" s="39">
        <v>7.4</v>
      </c>
      <c r="DE31" s="39">
        <v>6.2</v>
      </c>
      <c r="DF31" s="39">
        <v>5</v>
      </c>
      <c r="DG31" s="39">
        <v>88.3</v>
      </c>
      <c r="DH31" s="39">
        <v>85.1</v>
      </c>
      <c r="DI31" s="39">
        <v>87.9</v>
      </c>
      <c r="DJ31" s="39">
        <v>80.3</v>
      </c>
      <c r="DK31" s="39">
        <v>12.6</v>
      </c>
      <c r="DL31" s="39">
        <v>13.5</v>
      </c>
      <c r="DM31" s="39">
        <v>15</v>
      </c>
      <c r="DN31" s="39">
        <v>11.9</v>
      </c>
      <c r="DO31" s="39">
        <v>17.8</v>
      </c>
      <c r="DP31" s="39">
        <v>25</v>
      </c>
      <c r="DQ31" s="39">
        <v>25.3</v>
      </c>
      <c r="DR31" s="39">
        <v>25.4</v>
      </c>
      <c r="DS31" s="39">
        <v>11.2</v>
      </c>
      <c r="DT31" s="39">
        <v>17.600000000000001</v>
      </c>
      <c r="DU31" s="39">
        <v>13.1</v>
      </c>
      <c r="DV31" s="39">
        <v>9.4</v>
      </c>
      <c r="DW31" s="45">
        <v>222</v>
      </c>
      <c r="DX31" s="45">
        <v>3</v>
      </c>
      <c r="DY31" s="15">
        <v>0</v>
      </c>
      <c r="DZ31" s="45">
        <v>2</v>
      </c>
      <c r="EA31" s="45">
        <v>0</v>
      </c>
      <c r="EB31" s="45">
        <v>8</v>
      </c>
      <c r="EC31" s="45">
        <v>5</v>
      </c>
      <c r="ED31" s="45">
        <v>6</v>
      </c>
      <c r="EE31" s="45">
        <v>2</v>
      </c>
      <c r="EF31" s="104">
        <v>945</v>
      </c>
      <c r="EG31" s="104">
        <v>913</v>
      </c>
      <c r="EH31" s="104">
        <v>837</v>
      </c>
      <c r="EI31" s="104">
        <v>893</v>
      </c>
      <c r="EJ31" s="174">
        <v>177</v>
      </c>
      <c r="EK31" s="174">
        <v>2</v>
      </c>
      <c r="EL31" s="174"/>
      <c r="EM31" s="174"/>
      <c r="EN31" s="174"/>
      <c r="EO31" s="39">
        <v>958.51499999999999</v>
      </c>
      <c r="EP31" s="39">
        <v>915.70100000000002</v>
      </c>
      <c r="EQ31" s="39">
        <v>879.80200000000002</v>
      </c>
      <c r="ER31" s="39">
        <v>951.36599999999999</v>
      </c>
      <c r="ES31" s="39">
        <v>714.01099999999997</v>
      </c>
      <c r="ET31" s="39">
        <v>633.30399999999997</v>
      </c>
      <c r="EU31" s="39">
        <v>579.38</v>
      </c>
      <c r="EV31" s="39">
        <v>581.89</v>
      </c>
      <c r="EW31" s="39">
        <v>874.82500000000005</v>
      </c>
      <c r="EX31" s="39">
        <v>791.51400000000001</v>
      </c>
      <c r="EY31" s="39">
        <v>661.65899999999999</v>
      </c>
      <c r="EZ31" s="39">
        <v>698.89400000000001</v>
      </c>
      <c r="FA31" s="39">
        <v>592.99199999999996</v>
      </c>
      <c r="FB31" s="39">
        <v>517.12800000000004</v>
      </c>
      <c r="FC31" s="39">
        <v>503.98599999999999</v>
      </c>
      <c r="FD31" s="39">
        <v>492.36099999999999</v>
      </c>
      <c r="FE31" s="44">
        <v>199</v>
      </c>
      <c r="FF31" s="44">
        <v>201</v>
      </c>
      <c r="FG31" s="44">
        <v>193</v>
      </c>
      <c r="FH31" s="44">
        <v>200</v>
      </c>
      <c r="FI31" s="39">
        <v>162.15299999999999</v>
      </c>
      <c r="FJ31" s="39">
        <v>155.37799999999999</v>
      </c>
      <c r="FK31" s="39">
        <v>142.88800000000001</v>
      </c>
      <c r="FL31" s="39">
        <v>137.833</v>
      </c>
      <c r="FM31" s="45">
        <v>234</v>
      </c>
      <c r="FN31" s="45">
        <v>192</v>
      </c>
      <c r="FO31" s="36">
        <v>167</v>
      </c>
      <c r="FP31" s="45">
        <v>193</v>
      </c>
      <c r="FQ31" s="39">
        <v>167.334</v>
      </c>
      <c r="FR31" s="39">
        <v>124.295</v>
      </c>
      <c r="FS31" s="39">
        <v>110.682</v>
      </c>
      <c r="FT31" s="39">
        <v>117.512</v>
      </c>
      <c r="FU31" s="43">
        <v>75</v>
      </c>
      <c r="FV31" s="43">
        <v>65</v>
      </c>
      <c r="FW31" s="43">
        <v>57</v>
      </c>
      <c r="FX31" s="45">
        <v>50</v>
      </c>
      <c r="FY31" s="39">
        <v>52.344000000000001</v>
      </c>
      <c r="FZ31" s="39">
        <v>41.784999999999997</v>
      </c>
      <c r="GA31" s="39">
        <v>35.649000000000001</v>
      </c>
      <c r="GB31" s="39">
        <v>28.469000000000001</v>
      </c>
      <c r="GC31" s="150">
        <v>61</v>
      </c>
      <c r="GD31" s="150">
        <v>49</v>
      </c>
      <c r="GE31" s="150">
        <v>50</v>
      </c>
      <c r="GF31" s="150">
        <v>60</v>
      </c>
      <c r="GG31" s="182">
        <v>53.036999999999999</v>
      </c>
      <c r="GH31" s="182">
        <v>37.938000000000002</v>
      </c>
      <c r="GI31" s="182">
        <v>40.387</v>
      </c>
      <c r="GJ31" s="182">
        <v>48.307000000000002</v>
      </c>
      <c r="GK31" s="182"/>
      <c r="GL31" s="114"/>
      <c r="GM31" s="114"/>
      <c r="GN31" s="114"/>
      <c r="GP31" s="114"/>
      <c r="GQ31" s="114"/>
      <c r="GR31" s="114"/>
      <c r="GS31" s="114"/>
      <c r="GU31" s="114"/>
      <c r="GV31" s="114"/>
      <c r="GW31" s="114"/>
      <c r="GX31" s="114"/>
      <c r="HE31" s="113"/>
      <c r="HF31" s="113"/>
      <c r="HG31" s="113"/>
      <c r="HH31" s="113"/>
      <c r="HI31" s="113"/>
      <c r="HJ31" s="115"/>
      <c r="HK31" s="115"/>
      <c r="HL31" s="114"/>
      <c r="HV31" s="116"/>
    </row>
    <row r="32" spans="1:230" x14ac:dyDescent="0.2">
      <c r="A32" s="128">
        <v>29</v>
      </c>
      <c r="B32" s="129" t="s">
        <v>75</v>
      </c>
      <c r="C32" s="117">
        <v>20658</v>
      </c>
      <c r="D32" s="117">
        <v>20573</v>
      </c>
      <c r="E32" s="117">
        <v>20655</v>
      </c>
      <c r="F32" s="117">
        <v>20718</v>
      </c>
      <c r="G32" s="151">
        <v>21018</v>
      </c>
      <c r="H32" s="155">
        <v>19712</v>
      </c>
      <c r="I32" s="155">
        <v>185</v>
      </c>
      <c r="J32" s="155">
        <v>538</v>
      </c>
      <c r="K32" s="155">
        <v>126</v>
      </c>
      <c r="L32" s="155">
        <v>457</v>
      </c>
      <c r="M32" s="40">
        <v>8772</v>
      </c>
      <c r="N32" s="40">
        <v>8788</v>
      </c>
      <c r="O32" s="40">
        <v>8810</v>
      </c>
      <c r="P32" s="106">
        <v>8847</v>
      </c>
      <c r="Q32" s="106">
        <v>8977</v>
      </c>
      <c r="R32" s="51">
        <v>38.700000000000003</v>
      </c>
      <c r="S32" s="51">
        <v>40.200000000000003</v>
      </c>
      <c r="T32" s="51">
        <v>41.568725514712014</v>
      </c>
      <c r="U32" s="51">
        <v>42.603896646876827</v>
      </c>
      <c r="V32" s="51">
        <v>43.164933135215456</v>
      </c>
      <c r="W32" s="38">
        <v>29.4</v>
      </c>
      <c r="X32" s="38">
        <v>29.9</v>
      </c>
      <c r="Y32" s="38">
        <v>30.599316495790614</v>
      </c>
      <c r="Z32" s="38">
        <v>30.638013211807007</v>
      </c>
      <c r="AA32" s="38">
        <v>30.336800396235759</v>
      </c>
      <c r="AB32" s="51">
        <v>68.099999999999994</v>
      </c>
      <c r="AC32" s="51">
        <v>70.099999999999994</v>
      </c>
      <c r="AD32" s="51">
        <v>72.168042010502631</v>
      </c>
      <c r="AE32" s="51">
        <v>73.24190985868384</v>
      </c>
      <c r="AF32" s="51">
        <v>73.501733531451222</v>
      </c>
      <c r="AG32" s="39">
        <v>7.5</v>
      </c>
      <c r="AH32" s="39">
        <v>6.286318013734812</v>
      </c>
      <c r="AI32" s="39">
        <v>6.1475837595240579</v>
      </c>
      <c r="AJ32" s="39">
        <v>6.4868730207375629</v>
      </c>
      <c r="AK32" s="39">
        <v>5.7038834951456314</v>
      </c>
      <c r="AL32" s="43">
        <v>1176.4166666666667</v>
      </c>
      <c r="AM32" s="43">
        <v>1031.0833333333333</v>
      </c>
      <c r="AN32" s="43">
        <v>976.41666666666663</v>
      </c>
      <c r="AO32" s="43">
        <v>1004.3333333333334</v>
      </c>
      <c r="AP32" s="43">
        <v>1005.75</v>
      </c>
      <c r="AQ32" s="190">
        <v>35722.599169964291</v>
      </c>
      <c r="AR32" s="190">
        <v>36425.575010913322</v>
      </c>
      <c r="AS32" s="190">
        <v>38944.933481689324</v>
      </c>
      <c r="AT32" s="190">
        <v>40102.586156964957</v>
      </c>
      <c r="AU32" s="190">
        <v>42125.97</v>
      </c>
      <c r="AV32" s="162">
        <v>46347</v>
      </c>
      <c r="AW32" s="162">
        <v>48391.200000000004</v>
      </c>
      <c r="AX32" s="162">
        <v>49861.760000000002</v>
      </c>
      <c r="AY32" s="161">
        <v>54426.23</v>
      </c>
      <c r="AZ32" s="161">
        <v>56129</v>
      </c>
      <c r="BA32" s="49">
        <v>13.4</v>
      </c>
      <c r="BB32" s="49">
        <v>12.2</v>
      </c>
      <c r="BC32" s="49">
        <v>10.6</v>
      </c>
      <c r="BD32" s="49">
        <v>13.1</v>
      </c>
      <c r="BE32" s="49">
        <v>11.5</v>
      </c>
      <c r="BF32" s="42">
        <v>21</v>
      </c>
      <c r="BG32" s="42">
        <v>19.3</v>
      </c>
      <c r="BH32" s="42">
        <v>18.3</v>
      </c>
      <c r="BI32" s="42">
        <v>20.399999999999999</v>
      </c>
      <c r="BJ32" s="42">
        <v>16.8</v>
      </c>
      <c r="BK32" s="36">
        <v>2408</v>
      </c>
      <c r="BL32" s="36">
        <v>2464</v>
      </c>
      <c r="BM32" s="36">
        <v>2460</v>
      </c>
      <c r="BN32" s="36">
        <v>2630</v>
      </c>
      <c r="BO32" s="40">
        <v>54.734219269102987</v>
      </c>
      <c r="BP32" s="40">
        <v>53.652597402597401</v>
      </c>
      <c r="BQ32" s="40">
        <v>51.016260162601625</v>
      </c>
      <c r="BR32" s="40">
        <v>49.657794676806084</v>
      </c>
      <c r="BS32" s="51">
        <v>0.37375415282392027</v>
      </c>
      <c r="BT32" s="51">
        <v>0.48701298701298701</v>
      </c>
      <c r="BU32" s="51">
        <v>0.97560975609756095</v>
      </c>
      <c r="BV32" s="51">
        <v>1.0266159695817492</v>
      </c>
      <c r="BW32" s="39">
        <v>21.013289036544851</v>
      </c>
      <c r="BX32" s="39">
        <v>21.144480519480521</v>
      </c>
      <c r="BY32" s="39">
        <v>20.121951219512194</v>
      </c>
      <c r="BZ32" s="39">
        <v>19.771863117870723</v>
      </c>
      <c r="CA32" s="40">
        <v>80.921052631578945</v>
      </c>
      <c r="CB32" s="40">
        <v>78.688524590163937</v>
      </c>
      <c r="CC32" s="40">
        <v>75.81</v>
      </c>
      <c r="CD32" s="40">
        <v>75.14</v>
      </c>
      <c r="CE32" s="40">
        <v>7.2368421052631584</v>
      </c>
      <c r="CF32" s="40">
        <v>12.021857923497267</v>
      </c>
      <c r="CG32" s="40">
        <v>11.83</v>
      </c>
      <c r="CH32" s="40">
        <v>9.73</v>
      </c>
      <c r="CI32" s="105">
        <v>917</v>
      </c>
      <c r="CJ32" s="105">
        <v>1100</v>
      </c>
      <c r="CK32" s="104">
        <v>1127</v>
      </c>
      <c r="CL32" s="104">
        <v>1099</v>
      </c>
      <c r="CM32" s="39">
        <v>10.287650332076828</v>
      </c>
      <c r="CN32" s="39">
        <v>14.59253658083602</v>
      </c>
      <c r="CO32" s="39">
        <v>11.437908496732025</v>
      </c>
      <c r="CP32" s="39">
        <v>10.605855899326396</v>
      </c>
      <c r="CQ32" s="104">
        <v>53</v>
      </c>
      <c r="CR32" s="104">
        <v>51</v>
      </c>
      <c r="CS32" s="104">
        <v>54</v>
      </c>
      <c r="CT32" s="104">
        <v>54</v>
      </c>
      <c r="CU32" s="39">
        <v>5.9</v>
      </c>
      <c r="CV32" s="39">
        <v>4.8</v>
      </c>
      <c r="CW32" s="39">
        <v>4.9000000000000004</v>
      </c>
      <c r="CX32" s="39">
        <v>5.0999999999999996</v>
      </c>
      <c r="CY32" s="36">
        <v>63</v>
      </c>
      <c r="CZ32" s="104">
        <v>83</v>
      </c>
      <c r="DA32" s="104">
        <v>89</v>
      </c>
      <c r="DB32" s="104">
        <v>69</v>
      </c>
      <c r="DC32" s="39">
        <v>8.4</v>
      </c>
      <c r="DD32" s="39">
        <v>8.9</v>
      </c>
      <c r="DE32" s="39">
        <v>8.6</v>
      </c>
      <c r="DF32" s="39">
        <v>6.5</v>
      </c>
      <c r="DG32" s="39">
        <v>78.900000000000006</v>
      </c>
      <c r="DH32" s="39">
        <v>76.3</v>
      </c>
      <c r="DI32" s="39">
        <v>78.400000000000006</v>
      </c>
      <c r="DJ32" s="39">
        <v>81.900000000000006</v>
      </c>
      <c r="DK32" s="39">
        <v>22.9</v>
      </c>
      <c r="DL32" s="39">
        <v>24.8</v>
      </c>
      <c r="DM32" s="39">
        <v>21.3</v>
      </c>
      <c r="DN32" s="39">
        <v>20.8</v>
      </c>
      <c r="DO32" s="39">
        <v>34.799999999999997</v>
      </c>
      <c r="DP32" s="39">
        <v>35.200000000000003</v>
      </c>
      <c r="DQ32" s="39">
        <v>37.9</v>
      </c>
      <c r="DR32" s="39">
        <v>40.9</v>
      </c>
      <c r="DS32" s="39">
        <v>39.4</v>
      </c>
      <c r="DT32" s="39">
        <v>30.1</v>
      </c>
      <c r="DU32" s="39">
        <v>29.9</v>
      </c>
      <c r="DV32" s="39">
        <v>25.8</v>
      </c>
      <c r="DW32" s="45">
        <v>182</v>
      </c>
      <c r="DX32" s="45">
        <v>2</v>
      </c>
      <c r="DY32" s="15">
        <v>14</v>
      </c>
      <c r="DZ32" s="45">
        <v>5</v>
      </c>
      <c r="EA32" s="45">
        <v>12</v>
      </c>
      <c r="EB32" s="45">
        <v>5</v>
      </c>
      <c r="EC32" s="45">
        <v>6</v>
      </c>
      <c r="ED32" s="45">
        <v>5</v>
      </c>
      <c r="EE32" s="45">
        <v>8</v>
      </c>
      <c r="EF32" s="104">
        <v>890</v>
      </c>
      <c r="EG32" s="104">
        <v>830</v>
      </c>
      <c r="EH32" s="104">
        <v>928</v>
      </c>
      <c r="EI32" s="104">
        <v>1053</v>
      </c>
      <c r="EJ32" s="174">
        <v>211</v>
      </c>
      <c r="EK32" s="174"/>
      <c r="EL32" s="174">
        <v>3</v>
      </c>
      <c r="EM32" s="174"/>
      <c r="EN32" s="174">
        <v>2</v>
      </c>
      <c r="EO32" s="39">
        <v>968.65499999999997</v>
      </c>
      <c r="EP32" s="39">
        <v>880.12300000000005</v>
      </c>
      <c r="EQ32" s="39">
        <v>908.55700000000002</v>
      </c>
      <c r="ER32" s="39">
        <v>1019.6079999999999</v>
      </c>
      <c r="ES32" s="39">
        <v>758.23199999999997</v>
      </c>
      <c r="ET32" s="39">
        <v>604.79600000000005</v>
      </c>
      <c r="EU32" s="39">
        <v>630.56100000000004</v>
      </c>
      <c r="EV32" s="39">
        <v>652.26099999999997</v>
      </c>
      <c r="EW32" s="39">
        <v>918.86800000000005</v>
      </c>
      <c r="EX32" s="39">
        <v>695.39700000000005</v>
      </c>
      <c r="EY32" s="39">
        <v>744.78099999999995</v>
      </c>
      <c r="EZ32" s="39">
        <v>725.976</v>
      </c>
      <c r="FA32" s="39">
        <v>629.13699999999994</v>
      </c>
      <c r="FB32" s="39">
        <v>517.25900000000001</v>
      </c>
      <c r="FC32" s="39">
        <v>529.18600000000004</v>
      </c>
      <c r="FD32" s="39">
        <v>575.36099999999999</v>
      </c>
      <c r="FE32" s="44">
        <v>218</v>
      </c>
      <c r="FF32" s="44">
        <v>235</v>
      </c>
      <c r="FG32" s="44">
        <v>257</v>
      </c>
      <c r="FH32" s="44">
        <v>274</v>
      </c>
      <c r="FI32" s="39">
        <v>175.54900000000001</v>
      </c>
      <c r="FJ32" s="39">
        <v>170.17599999999999</v>
      </c>
      <c r="FK32" s="39">
        <v>162.44</v>
      </c>
      <c r="FL32" s="39">
        <v>157.06200000000001</v>
      </c>
      <c r="FM32" s="45">
        <v>264</v>
      </c>
      <c r="FN32" s="45">
        <v>193</v>
      </c>
      <c r="FO32" s="36">
        <v>171</v>
      </c>
      <c r="FP32" s="45">
        <v>188</v>
      </c>
      <c r="FQ32" s="39">
        <v>216.82599999999999</v>
      </c>
      <c r="FR32" s="39">
        <v>136.55699999999999</v>
      </c>
      <c r="FS32" s="39">
        <v>113.254</v>
      </c>
      <c r="FT32" s="39">
        <v>111.551</v>
      </c>
      <c r="FU32" s="43">
        <v>58</v>
      </c>
      <c r="FV32" s="43">
        <v>57</v>
      </c>
      <c r="FW32" s="43">
        <v>63</v>
      </c>
      <c r="FX32" s="45">
        <v>42</v>
      </c>
      <c r="FY32" s="39">
        <v>48.816000000000003</v>
      </c>
      <c r="FZ32" s="39">
        <v>37.911999999999999</v>
      </c>
      <c r="GA32" s="39">
        <v>41.744999999999997</v>
      </c>
      <c r="GB32" s="39">
        <v>25.917999999999999</v>
      </c>
      <c r="GC32" s="150">
        <v>46</v>
      </c>
      <c r="GD32" s="150">
        <v>51</v>
      </c>
      <c r="GE32" s="150">
        <v>55</v>
      </c>
      <c r="GF32" s="150">
        <v>56</v>
      </c>
      <c r="GG32" s="182">
        <v>50.642000000000003</v>
      </c>
      <c r="GH32" s="182">
        <v>47.119</v>
      </c>
      <c r="GI32" s="182">
        <v>46.741999999999997</v>
      </c>
      <c r="GJ32" s="182">
        <v>45.143000000000001</v>
      </c>
      <c r="GK32" s="182"/>
      <c r="GL32" s="114"/>
      <c r="GM32" s="114"/>
      <c r="GN32" s="114"/>
      <c r="GP32" s="114"/>
      <c r="GQ32" s="114"/>
      <c r="GR32" s="114"/>
      <c r="GS32" s="114"/>
      <c r="GU32" s="114"/>
      <c r="GV32" s="114"/>
      <c r="GW32" s="114"/>
      <c r="GX32" s="114"/>
      <c r="HE32" s="113"/>
      <c r="HF32" s="113"/>
      <c r="HG32" s="113"/>
      <c r="HH32" s="113"/>
      <c r="HI32" s="113"/>
      <c r="HJ32" s="115"/>
      <c r="HK32" s="115"/>
      <c r="HL32" s="114"/>
      <c r="HV32" s="116"/>
    </row>
    <row r="33" spans="1:230" x14ac:dyDescent="0.2">
      <c r="A33" s="128">
        <v>30</v>
      </c>
      <c r="B33" s="129" t="s">
        <v>76</v>
      </c>
      <c r="C33" s="117">
        <v>38204</v>
      </c>
      <c r="D33" s="117">
        <v>38413</v>
      </c>
      <c r="E33" s="117">
        <v>38429</v>
      </c>
      <c r="F33" s="117">
        <v>39025</v>
      </c>
      <c r="G33" s="151">
        <v>39582</v>
      </c>
      <c r="H33" s="155">
        <v>37561</v>
      </c>
      <c r="I33" s="155">
        <v>435</v>
      </c>
      <c r="J33" s="155">
        <v>247</v>
      </c>
      <c r="K33" s="155">
        <v>520</v>
      </c>
      <c r="L33" s="155">
        <v>819</v>
      </c>
      <c r="M33" s="40">
        <v>14157</v>
      </c>
      <c r="N33" s="40">
        <v>14245</v>
      </c>
      <c r="O33" s="40">
        <v>14334</v>
      </c>
      <c r="P33" s="106">
        <v>14500</v>
      </c>
      <c r="Q33" s="106">
        <v>14710</v>
      </c>
      <c r="R33" s="51">
        <v>21.5</v>
      </c>
      <c r="S33" s="51">
        <v>22.2</v>
      </c>
      <c r="T33" s="51">
        <v>23.147260820955118</v>
      </c>
      <c r="U33" s="51">
        <v>23.981005144440047</v>
      </c>
      <c r="V33" s="51">
        <v>23.87908139353226</v>
      </c>
      <c r="W33" s="38">
        <v>31.2</v>
      </c>
      <c r="X33" s="38">
        <v>30.5</v>
      </c>
      <c r="Y33" s="38">
        <v>30.298674333173615</v>
      </c>
      <c r="Z33" s="38">
        <v>30.451127819548873</v>
      </c>
      <c r="AA33" s="38">
        <v>30.713950945164818</v>
      </c>
      <c r="AB33" s="51">
        <v>52.7</v>
      </c>
      <c r="AC33" s="51">
        <v>52.7</v>
      </c>
      <c r="AD33" s="51">
        <v>53.445935154128733</v>
      </c>
      <c r="AE33" s="51">
        <v>54.43213296398892</v>
      </c>
      <c r="AF33" s="51">
        <v>54.593032338697078</v>
      </c>
      <c r="AG33" s="39">
        <v>6</v>
      </c>
      <c r="AH33" s="39">
        <v>4.9665617623918177</v>
      </c>
      <c r="AI33" s="39">
        <v>4.260210320371729</v>
      </c>
      <c r="AJ33" s="39">
        <v>4.7361432154625485</v>
      </c>
      <c r="AK33" s="39">
        <v>4.4919992288413342</v>
      </c>
      <c r="AL33" s="43">
        <v>1532.25</v>
      </c>
      <c r="AM33" s="43">
        <v>1385.8333333333333</v>
      </c>
      <c r="AN33" s="43">
        <v>1290.25</v>
      </c>
      <c r="AO33" s="43">
        <v>1232.1666666666667</v>
      </c>
      <c r="AP33" s="43">
        <v>1191.75</v>
      </c>
      <c r="AQ33" s="190">
        <v>37993.028858744045</v>
      </c>
      <c r="AR33" s="190">
        <v>38913.592875185546</v>
      </c>
      <c r="AS33" s="190">
        <v>40630.887577042107</v>
      </c>
      <c r="AT33" s="190">
        <v>41106.118898142216</v>
      </c>
      <c r="AU33" s="190">
        <v>43953.19</v>
      </c>
      <c r="AV33" s="162">
        <v>61233.9</v>
      </c>
      <c r="AW33" s="162">
        <v>60773.440000000002</v>
      </c>
      <c r="AX33" s="162">
        <v>67955.680000000008</v>
      </c>
      <c r="AY33" s="161">
        <v>65028.020000000004</v>
      </c>
      <c r="AZ33" s="161">
        <v>70594</v>
      </c>
      <c r="BA33" s="49">
        <v>8.4</v>
      </c>
      <c r="BB33" s="49">
        <v>7.8</v>
      </c>
      <c r="BC33" s="49">
        <v>7.7</v>
      </c>
      <c r="BD33" s="49">
        <v>7.7</v>
      </c>
      <c r="BE33" s="49">
        <v>7.9</v>
      </c>
      <c r="BF33" s="42">
        <v>10.8</v>
      </c>
      <c r="BG33" s="42">
        <v>11.7</v>
      </c>
      <c r="BH33" s="42">
        <v>10.1</v>
      </c>
      <c r="BI33" s="42">
        <v>10.6</v>
      </c>
      <c r="BJ33" s="42">
        <v>10.1</v>
      </c>
      <c r="BK33" s="36">
        <v>6190</v>
      </c>
      <c r="BL33" s="36">
        <v>6215</v>
      </c>
      <c r="BM33" s="36">
        <v>6037</v>
      </c>
      <c r="BN33" s="36">
        <v>6091</v>
      </c>
      <c r="BO33" s="40">
        <v>36.94668820678514</v>
      </c>
      <c r="BP33" s="40">
        <v>35.720032180209174</v>
      </c>
      <c r="BQ33" s="40">
        <v>35.06708630114295</v>
      </c>
      <c r="BR33" s="40">
        <v>33.442784436053188</v>
      </c>
      <c r="BS33" s="51">
        <v>0.84006462035541196</v>
      </c>
      <c r="BT33" s="51">
        <v>0.86886564762670959</v>
      </c>
      <c r="BU33" s="51">
        <v>1.0104356468444591</v>
      </c>
      <c r="BV33" s="51">
        <v>0.88655393203086519</v>
      </c>
      <c r="BW33" s="39">
        <v>15.266558966074314</v>
      </c>
      <c r="BX33" s="39">
        <v>15.462590506838295</v>
      </c>
      <c r="BY33" s="39">
        <v>15.173099221467616</v>
      </c>
      <c r="BZ33" s="39">
        <v>16.384830077163027</v>
      </c>
      <c r="CA33" s="40">
        <v>82.494529540481395</v>
      </c>
      <c r="CB33" s="40">
        <v>84.309623430962347</v>
      </c>
      <c r="CC33" s="40">
        <v>84.12</v>
      </c>
      <c r="CD33" s="40">
        <v>86.98</v>
      </c>
      <c r="CE33" s="40">
        <v>2.1881838074398248</v>
      </c>
      <c r="CF33" s="40">
        <v>1.2526096033402923</v>
      </c>
      <c r="CG33" s="40">
        <v>4.7</v>
      </c>
      <c r="CH33" s="40">
        <v>2.56</v>
      </c>
      <c r="CI33" s="105">
        <v>1968</v>
      </c>
      <c r="CJ33" s="105">
        <v>2448</v>
      </c>
      <c r="CK33" s="104">
        <v>2407</v>
      </c>
      <c r="CL33" s="104">
        <v>2207</v>
      </c>
      <c r="CM33" s="39">
        <v>12.402866272144598</v>
      </c>
      <c r="CN33" s="39">
        <v>16.136368130672942</v>
      </c>
      <c r="CO33" s="39">
        <v>12.478355988262983</v>
      </c>
      <c r="CP33" s="39">
        <v>11.396673431343693</v>
      </c>
      <c r="CQ33" s="104">
        <v>78</v>
      </c>
      <c r="CR33" s="104">
        <v>120</v>
      </c>
      <c r="CS33" s="104">
        <v>114</v>
      </c>
      <c r="CT33" s="104">
        <v>85</v>
      </c>
      <c r="CU33" s="39">
        <v>4.0999999999999996</v>
      </c>
      <c r="CV33" s="39">
        <v>5</v>
      </c>
      <c r="CW33" s="39">
        <v>4.9000000000000004</v>
      </c>
      <c r="CX33" s="39">
        <v>4</v>
      </c>
      <c r="CY33" s="36">
        <v>140</v>
      </c>
      <c r="CZ33" s="104">
        <v>201</v>
      </c>
      <c r="DA33" s="104">
        <v>174</v>
      </c>
      <c r="DB33" s="104">
        <v>135</v>
      </c>
      <c r="DC33" s="39">
        <v>7.8</v>
      </c>
      <c r="DD33" s="39">
        <v>9.1</v>
      </c>
      <c r="DE33" s="39">
        <v>7.9</v>
      </c>
      <c r="DF33" s="39">
        <v>6.3</v>
      </c>
      <c r="DG33" s="39">
        <v>81.599999999999994</v>
      </c>
      <c r="DH33" s="39">
        <v>85.2</v>
      </c>
      <c r="DI33" s="39">
        <v>87.1</v>
      </c>
      <c r="DJ33" s="39">
        <v>86.8</v>
      </c>
      <c r="DK33" s="39">
        <v>19.2</v>
      </c>
      <c r="DL33" s="39">
        <v>17.8</v>
      </c>
      <c r="DM33" s="39">
        <v>17.5</v>
      </c>
      <c r="DN33" s="39">
        <v>17.2</v>
      </c>
      <c r="DO33" s="39">
        <v>27.5</v>
      </c>
      <c r="DP33" s="39">
        <v>31.7</v>
      </c>
      <c r="DQ33" s="39">
        <v>34.1</v>
      </c>
      <c r="DR33" s="39">
        <v>36.1</v>
      </c>
      <c r="DS33" s="39">
        <v>27.2</v>
      </c>
      <c r="DT33" s="39">
        <v>29.9</v>
      </c>
      <c r="DU33" s="39">
        <v>21</v>
      </c>
      <c r="DV33" s="39">
        <v>13.8</v>
      </c>
      <c r="DW33" s="45">
        <v>399</v>
      </c>
      <c r="DX33" s="45">
        <v>9</v>
      </c>
      <c r="DY33" s="15">
        <v>0</v>
      </c>
      <c r="DZ33" s="45">
        <v>7</v>
      </c>
      <c r="EA33" s="45">
        <v>12</v>
      </c>
      <c r="EB33" s="45">
        <v>9</v>
      </c>
      <c r="EC33" s="45">
        <v>13</v>
      </c>
      <c r="ED33" s="45">
        <v>8</v>
      </c>
      <c r="EE33" s="45">
        <v>16</v>
      </c>
      <c r="EF33" s="104">
        <v>1140</v>
      </c>
      <c r="EG33" s="104">
        <v>1276</v>
      </c>
      <c r="EH33" s="104">
        <v>1365</v>
      </c>
      <c r="EI33" s="104">
        <v>1546</v>
      </c>
      <c r="EJ33" s="174">
        <v>311</v>
      </c>
      <c r="EK33" s="174">
        <v>2</v>
      </c>
      <c r="EL33" s="174">
        <v>1</v>
      </c>
      <c r="EM33" s="174">
        <v>1</v>
      </c>
      <c r="EN33" s="174">
        <v>4</v>
      </c>
      <c r="EO33" s="39">
        <v>728.73699999999997</v>
      </c>
      <c r="EP33" s="39">
        <v>677.57</v>
      </c>
      <c r="EQ33" s="39">
        <v>721.91700000000003</v>
      </c>
      <c r="ER33" s="39">
        <v>804.601</v>
      </c>
      <c r="ES33" s="39">
        <v>758.53899999999999</v>
      </c>
      <c r="ET33" s="39">
        <v>737.49400000000003</v>
      </c>
      <c r="EU33" s="39">
        <v>705.90700000000004</v>
      </c>
      <c r="EV33" s="39">
        <v>689.89800000000002</v>
      </c>
      <c r="EW33" s="39">
        <v>892.45500000000004</v>
      </c>
      <c r="EX33" s="39">
        <v>840.74599999999998</v>
      </c>
      <c r="EY33" s="39">
        <v>835.47</v>
      </c>
      <c r="EZ33" s="39">
        <v>778.37699999999995</v>
      </c>
      <c r="FA33" s="39">
        <v>649.94000000000005</v>
      </c>
      <c r="FB33" s="39">
        <v>640.63199999999995</v>
      </c>
      <c r="FC33" s="39">
        <v>601.08399999999995</v>
      </c>
      <c r="FD33" s="39">
        <v>612.221</v>
      </c>
      <c r="FE33" s="44">
        <v>260</v>
      </c>
      <c r="FF33" s="44">
        <v>270</v>
      </c>
      <c r="FG33" s="44">
        <v>356</v>
      </c>
      <c r="FH33" s="44">
        <v>369</v>
      </c>
      <c r="FI33" s="39">
        <v>182.71299999999999</v>
      </c>
      <c r="FJ33" s="39">
        <v>160.44</v>
      </c>
      <c r="FK33" s="39">
        <v>184.197</v>
      </c>
      <c r="FL33" s="39">
        <v>158.874</v>
      </c>
      <c r="FM33" s="45">
        <v>269</v>
      </c>
      <c r="FN33" s="45">
        <v>308</v>
      </c>
      <c r="FO33" s="36">
        <v>210</v>
      </c>
      <c r="FP33" s="45">
        <v>281</v>
      </c>
      <c r="FQ33" s="39">
        <v>175.249</v>
      </c>
      <c r="FR33" s="39">
        <v>175.477</v>
      </c>
      <c r="FS33" s="39">
        <v>106.349</v>
      </c>
      <c r="FT33" s="39">
        <v>125.279</v>
      </c>
      <c r="FU33" s="43">
        <v>93</v>
      </c>
      <c r="FV33" s="43">
        <v>86</v>
      </c>
      <c r="FW33" s="43">
        <v>78</v>
      </c>
      <c r="FX33" s="45">
        <v>82</v>
      </c>
      <c r="FY33" s="39">
        <v>57.893999999999998</v>
      </c>
      <c r="FZ33" s="39">
        <v>50.645000000000003</v>
      </c>
      <c r="GA33" s="39">
        <v>40.598999999999997</v>
      </c>
      <c r="GB33" s="39">
        <v>37.158000000000001</v>
      </c>
      <c r="GC33" s="150">
        <v>61</v>
      </c>
      <c r="GD33" s="150">
        <v>71</v>
      </c>
      <c r="GE33" s="150">
        <v>79</v>
      </c>
      <c r="GF33" s="150">
        <v>100</v>
      </c>
      <c r="GG33" s="182">
        <v>40.649000000000001</v>
      </c>
      <c r="GH33" s="182">
        <v>37.997</v>
      </c>
      <c r="GI33" s="182">
        <v>41.771999999999998</v>
      </c>
      <c r="GJ33" s="182">
        <v>48.003999999999998</v>
      </c>
      <c r="GK33" s="182"/>
      <c r="GL33" s="114"/>
      <c r="GM33" s="114"/>
      <c r="GN33" s="114"/>
      <c r="GP33" s="114"/>
      <c r="GQ33" s="114"/>
      <c r="GR33" s="114"/>
      <c r="GS33" s="114"/>
      <c r="GU33" s="114"/>
      <c r="GV33" s="114"/>
      <c r="GW33" s="114"/>
      <c r="GX33" s="114"/>
      <c r="HE33" s="113"/>
      <c r="HF33" s="113"/>
      <c r="HG33" s="113"/>
      <c r="HH33" s="113"/>
      <c r="HI33" s="113"/>
      <c r="HJ33" s="115"/>
      <c r="HK33" s="115"/>
      <c r="HL33" s="114"/>
      <c r="HV33" s="116"/>
    </row>
    <row r="34" spans="1:230" x14ac:dyDescent="0.2">
      <c r="A34" s="128">
        <v>31</v>
      </c>
      <c r="B34" s="129" t="s">
        <v>77</v>
      </c>
      <c r="C34" s="117">
        <v>45564</v>
      </c>
      <c r="D34" s="117">
        <v>45589</v>
      </c>
      <c r="E34" s="117">
        <v>45435</v>
      </c>
      <c r="F34" s="117">
        <v>45242</v>
      </c>
      <c r="G34" s="151">
        <v>45137</v>
      </c>
      <c r="H34" s="155">
        <v>42003</v>
      </c>
      <c r="I34" s="155">
        <v>378</v>
      </c>
      <c r="J34" s="155">
        <v>1902</v>
      </c>
      <c r="K34" s="155">
        <v>205</v>
      </c>
      <c r="L34" s="155">
        <v>649</v>
      </c>
      <c r="M34" s="40">
        <v>19026</v>
      </c>
      <c r="N34" s="40">
        <v>19088</v>
      </c>
      <c r="O34" s="40">
        <v>19206</v>
      </c>
      <c r="P34" s="106">
        <v>19304</v>
      </c>
      <c r="Q34" s="106">
        <v>19288</v>
      </c>
      <c r="R34" s="51">
        <v>32.9</v>
      </c>
      <c r="S34" s="51">
        <v>34.1</v>
      </c>
      <c r="T34" s="51">
        <v>34.908842951478611</v>
      </c>
      <c r="U34" s="51">
        <v>36.288502148110389</v>
      </c>
      <c r="V34" s="51">
        <v>37.832657574640621</v>
      </c>
      <c r="W34" s="38">
        <v>28.1</v>
      </c>
      <c r="X34" s="38">
        <v>28.2</v>
      </c>
      <c r="Y34" s="38">
        <v>28.151019236290551</v>
      </c>
      <c r="Z34" s="38">
        <v>28.431515328041947</v>
      </c>
      <c r="AA34" s="38">
        <v>28.540361223737559</v>
      </c>
      <c r="AB34" s="51">
        <v>61</v>
      </c>
      <c r="AC34" s="51">
        <v>62.2</v>
      </c>
      <c r="AD34" s="51">
        <v>63.05986218776917</v>
      </c>
      <c r="AE34" s="51">
        <v>64.720017476152336</v>
      </c>
      <c r="AF34" s="51">
        <v>66.373018798378183</v>
      </c>
      <c r="AG34" s="39">
        <v>7.5</v>
      </c>
      <c r="AH34" s="39">
        <v>6.4423732666515114</v>
      </c>
      <c r="AI34" s="39">
        <v>6.4646017699115044</v>
      </c>
      <c r="AJ34" s="39">
        <v>8.6586426250514847</v>
      </c>
      <c r="AK34" s="39">
        <v>7.368175454969669</v>
      </c>
      <c r="AL34" s="43">
        <v>2979.25</v>
      </c>
      <c r="AM34" s="43">
        <v>2748.4166666666665</v>
      </c>
      <c r="AN34" s="43">
        <v>2546</v>
      </c>
      <c r="AO34" s="43">
        <v>2467.8333333333335</v>
      </c>
      <c r="AP34" s="43">
        <v>2479.0833333333335</v>
      </c>
      <c r="AQ34" s="190">
        <v>36533.585669644825</v>
      </c>
      <c r="AR34" s="190">
        <v>37587.947302439134</v>
      </c>
      <c r="AS34" s="190">
        <v>39327.335286472677</v>
      </c>
      <c r="AT34" s="190">
        <v>39268.516643826537</v>
      </c>
      <c r="AU34" s="190">
        <v>41431.75</v>
      </c>
      <c r="AV34" s="162">
        <v>45679.200000000004</v>
      </c>
      <c r="AW34" s="162">
        <v>48707.360000000001</v>
      </c>
      <c r="AX34" s="162">
        <v>50466</v>
      </c>
      <c r="AY34" s="161">
        <v>53625.919999999998</v>
      </c>
      <c r="AZ34" s="161">
        <v>49934</v>
      </c>
      <c r="BA34" s="49">
        <v>13.1</v>
      </c>
      <c r="BB34" s="49">
        <v>14.7</v>
      </c>
      <c r="BC34" s="49">
        <v>12.7</v>
      </c>
      <c r="BD34" s="49">
        <v>13.3</v>
      </c>
      <c r="BE34" s="49">
        <v>11.2</v>
      </c>
      <c r="BF34" s="42">
        <v>20.5</v>
      </c>
      <c r="BG34" s="42">
        <v>21.8</v>
      </c>
      <c r="BH34" s="42">
        <v>17.7</v>
      </c>
      <c r="BI34" s="42">
        <v>18.8</v>
      </c>
      <c r="BJ34" s="42">
        <v>14.9</v>
      </c>
      <c r="BK34" s="36">
        <v>6884</v>
      </c>
      <c r="BL34" s="36">
        <v>6810</v>
      </c>
      <c r="BM34" s="36">
        <v>6607</v>
      </c>
      <c r="BN34" s="36">
        <v>6906</v>
      </c>
      <c r="BO34" s="40">
        <v>47.95177222545032</v>
      </c>
      <c r="BP34" s="40">
        <v>47.665198237885463</v>
      </c>
      <c r="BQ34" s="40">
        <v>46.798849704858483</v>
      </c>
      <c r="BR34" s="40">
        <v>47.031566753547636</v>
      </c>
      <c r="BS34" s="51">
        <v>0.14526438117373619</v>
      </c>
      <c r="BT34" s="51">
        <v>0.13215859030837004</v>
      </c>
      <c r="BU34" s="51">
        <v>0.12108369910700773</v>
      </c>
      <c r="BV34" s="51">
        <v>0.13032145960034752</v>
      </c>
      <c r="BW34" s="39">
        <v>18.492155723416619</v>
      </c>
      <c r="BX34" s="39">
        <v>18.986784140969164</v>
      </c>
      <c r="BY34" s="39">
        <v>17.980929317390647</v>
      </c>
      <c r="BZ34" s="39">
        <v>19.910222994497538</v>
      </c>
      <c r="CA34" s="40">
        <v>85.801217038539562</v>
      </c>
      <c r="CB34" s="40">
        <v>87.522935779816507</v>
      </c>
      <c r="CC34" s="40">
        <v>87.96</v>
      </c>
      <c r="CD34" s="40">
        <v>88.63</v>
      </c>
      <c r="CE34" s="40">
        <v>4.4624746450304258</v>
      </c>
      <c r="CF34" s="40">
        <v>4.5703839122486292</v>
      </c>
      <c r="CG34" s="40">
        <v>4.4400000000000004</v>
      </c>
      <c r="CH34" s="40">
        <v>2.89</v>
      </c>
      <c r="CI34" s="105">
        <v>2208</v>
      </c>
      <c r="CJ34" s="105">
        <v>2495</v>
      </c>
      <c r="CK34" s="104">
        <v>2307</v>
      </c>
      <c r="CL34" s="104">
        <v>2346</v>
      </c>
      <c r="CM34" s="39">
        <v>10.029160875371325</v>
      </c>
      <c r="CN34" s="39">
        <v>14.0191379494412</v>
      </c>
      <c r="CO34" s="39">
        <v>10.273789589939078</v>
      </c>
      <c r="CP34" s="39">
        <v>10.336304396674405</v>
      </c>
      <c r="CQ34" s="104">
        <v>82</v>
      </c>
      <c r="CR34" s="104">
        <v>118</v>
      </c>
      <c r="CS34" s="104">
        <v>110</v>
      </c>
      <c r="CT34" s="104">
        <v>124</v>
      </c>
      <c r="CU34" s="39">
        <v>3.9</v>
      </c>
      <c r="CV34" s="39">
        <v>4.9000000000000004</v>
      </c>
      <c r="CW34" s="39">
        <v>4.9000000000000004</v>
      </c>
      <c r="CX34" s="39">
        <v>5.5</v>
      </c>
      <c r="CY34" s="36">
        <v>105</v>
      </c>
      <c r="CZ34" s="104">
        <v>175</v>
      </c>
      <c r="DA34" s="104">
        <v>149</v>
      </c>
      <c r="DB34" s="104">
        <v>182</v>
      </c>
      <c r="DC34" s="39">
        <v>5.7</v>
      </c>
      <c r="DD34" s="39">
        <v>8.9</v>
      </c>
      <c r="DE34" s="39">
        <v>7.6</v>
      </c>
      <c r="DF34" s="39">
        <v>8</v>
      </c>
      <c r="DG34" s="39">
        <v>90.6</v>
      </c>
      <c r="DH34" s="39">
        <v>87</v>
      </c>
      <c r="DI34" s="39">
        <v>84.3</v>
      </c>
      <c r="DJ34" s="39">
        <v>82.6</v>
      </c>
      <c r="DK34" s="39">
        <v>19.399999999999999</v>
      </c>
      <c r="DL34" s="39">
        <v>21.6</v>
      </c>
      <c r="DM34" s="39">
        <v>22.7</v>
      </c>
      <c r="DN34" s="39">
        <v>22.3</v>
      </c>
      <c r="DO34" s="39">
        <v>35.1</v>
      </c>
      <c r="DP34" s="39">
        <v>39.6</v>
      </c>
      <c r="DQ34" s="39">
        <v>42.5</v>
      </c>
      <c r="DR34" s="39">
        <v>43.2</v>
      </c>
      <c r="DS34" s="39">
        <v>29.3</v>
      </c>
      <c r="DT34" s="39">
        <v>32</v>
      </c>
      <c r="DU34" s="39">
        <v>28.7</v>
      </c>
      <c r="DV34" s="39">
        <v>21.3</v>
      </c>
      <c r="DW34" s="45">
        <v>413</v>
      </c>
      <c r="DX34" s="45">
        <v>5</v>
      </c>
      <c r="DY34" s="15">
        <v>39</v>
      </c>
      <c r="DZ34" s="45">
        <v>1</v>
      </c>
      <c r="EA34" s="45">
        <v>5</v>
      </c>
      <c r="EB34" s="45">
        <v>12</v>
      </c>
      <c r="EC34" s="45">
        <v>20</v>
      </c>
      <c r="ED34" s="45">
        <v>9</v>
      </c>
      <c r="EE34" s="45">
        <v>16</v>
      </c>
      <c r="EF34" s="104">
        <v>2296</v>
      </c>
      <c r="EG34" s="104">
        <v>2319</v>
      </c>
      <c r="EH34" s="104">
        <v>2430</v>
      </c>
      <c r="EI34" s="104">
        <v>2626</v>
      </c>
      <c r="EJ34" s="174">
        <v>469</v>
      </c>
      <c r="EK34" s="174"/>
      <c r="EL34" s="174">
        <v>19</v>
      </c>
      <c r="EM34" s="174">
        <v>2</v>
      </c>
      <c r="EN34" s="174">
        <v>1</v>
      </c>
      <c r="EO34" s="39">
        <v>1043.826</v>
      </c>
      <c r="EP34" s="39">
        <v>1044.971</v>
      </c>
      <c r="EQ34" s="39">
        <v>1078.6099999999999</v>
      </c>
      <c r="ER34" s="39">
        <v>1155.9369999999999</v>
      </c>
      <c r="ES34" s="39">
        <v>821.01400000000001</v>
      </c>
      <c r="ET34" s="39">
        <v>762.80899999999997</v>
      </c>
      <c r="EU34" s="39">
        <v>738.13900000000001</v>
      </c>
      <c r="EV34" s="39">
        <v>747.21199999999999</v>
      </c>
      <c r="EW34" s="39">
        <v>962.74</v>
      </c>
      <c r="EX34" s="39">
        <v>887.37300000000005</v>
      </c>
      <c r="EY34" s="39">
        <v>891.94200000000001</v>
      </c>
      <c r="EZ34" s="39">
        <v>858.55600000000004</v>
      </c>
      <c r="FA34" s="39">
        <v>703.846</v>
      </c>
      <c r="FB34" s="39">
        <v>649.58500000000004</v>
      </c>
      <c r="FC34" s="39">
        <v>605.49300000000005</v>
      </c>
      <c r="FD34" s="39">
        <v>642.43399999999997</v>
      </c>
      <c r="FE34" s="44">
        <v>591</v>
      </c>
      <c r="FF34" s="44">
        <v>568</v>
      </c>
      <c r="FG34" s="44">
        <v>621</v>
      </c>
      <c r="FH34" s="44">
        <v>611</v>
      </c>
      <c r="FI34" s="39">
        <v>207.946</v>
      </c>
      <c r="FJ34" s="39">
        <v>187.63499999999999</v>
      </c>
      <c r="FK34" s="39">
        <v>182.76400000000001</v>
      </c>
      <c r="FL34" s="39">
        <v>171.453</v>
      </c>
      <c r="FM34" s="45">
        <v>572</v>
      </c>
      <c r="FN34" s="45">
        <v>554</v>
      </c>
      <c r="FO34" s="36">
        <v>511</v>
      </c>
      <c r="FP34" s="45">
        <v>538</v>
      </c>
      <c r="FQ34" s="39">
        <v>199.244</v>
      </c>
      <c r="FR34" s="39">
        <v>175.70400000000001</v>
      </c>
      <c r="FS34" s="39">
        <v>149.03399999999999</v>
      </c>
      <c r="FT34" s="39">
        <v>146.69499999999999</v>
      </c>
      <c r="FU34" s="43">
        <v>153</v>
      </c>
      <c r="FV34" s="43">
        <v>150</v>
      </c>
      <c r="FW34" s="43">
        <v>139</v>
      </c>
      <c r="FX34" s="45">
        <v>138</v>
      </c>
      <c r="FY34" s="39">
        <v>53.213999999999999</v>
      </c>
      <c r="FZ34" s="39">
        <v>45.298999999999999</v>
      </c>
      <c r="GA34" s="39">
        <v>40.988</v>
      </c>
      <c r="GB34" s="39">
        <v>36.945999999999998</v>
      </c>
      <c r="GC34" s="150">
        <v>120</v>
      </c>
      <c r="GD34" s="150">
        <v>120</v>
      </c>
      <c r="GE34" s="150">
        <v>131</v>
      </c>
      <c r="GF34" s="150">
        <v>190</v>
      </c>
      <c r="GG34" s="182">
        <v>51.332999999999998</v>
      </c>
      <c r="GH34" s="182">
        <v>47.997</v>
      </c>
      <c r="GI34" s="182">
        <v>51.012999999999998</v>
      </c>
      <c r="GJ34" s="182">
        <v>64.194000000000003</v>
      </c>
      <c r="GK34" s="182"/>
      <c r="GL34" s="114"/>
      <c r="GM34" s="114"/>
      <c r="GN34" s="114"/>
      <c r="GP34" s="114"/>
      <c r="GQ34" s="114"/>
      <c r="GR34" s="114"/>
      <c r="GS34" s="114"/>
      <c r="GU34" s="114"/>
      <c r="GV34" s="114"/>
      <c r="GW34" s="114"/>
      <c r="GX34" s="114"/>
      <c r="HE34" s="113"/>
      <c r="HF34" s="113"/>
      <c r="HG34" s="113"/>
      <c r="HH34" s="113"/>
      <c r="HI34" s="113"/>
      <c r="HJ34" s="115"/>
      <c r="HK34" s="115"/>
      <c r="HL34" s="114"/>
      <c r="HV34" s="116"/>
    </row>
    <row r="35" spans="1:230" ht="21" customHeight="1" x14ac:dyDescent="0.2">
      <c r="A35" s="128">
        <v>32</v>
      </c>
      <c r="B35" s="129" t="s">
        <v>78</v>
      </c>
      <c r="C35" s="117">
        <v>10260</v>
      </c>
      <c r="D35" s="117">
        <v>10269</v>
      </c>
      <c r="E35" s="117">
        <v>10079</v>
      </c>
      <c r="F35" s="117">
        <v>9944</v>
      </c>
      <c r="G35" s="151">
        <v>9946</v>
      </c>
      <c r="H35" s="155">
        <v>9286</v>
      </c>
      <c r="I35" s="155">
        <v>108</v>
      </c>
      <c r="J35" s="155">
        <v>28</v>
      </c>
      <c r="K35" s="155">
        <v>159</v>
      </c>
      <c r="L35" s="155">
        <v>365</v>
      </c>
      <c r="M35" s="40">
        <v>4453</v>
      </c>
      <c r="N35" s="40">
        <v>4460</v>
      </c>
      <c r="O35" s="40">
        <v>4425</v>
      </c>
      <c r="P35" s="106">
        <v>4396</v>
      </c>
      <c r="Q35" s="106">
        <v>4394</v>
      </c>
      <c r="R35" s="51">
        <v>32.4</v>
      </c>
      <c r="S35" s="51">
        <v>32.299999999999997</v>
      </c>
      <c r="T35" s="51">
        <v>33.457550226830854</v>
      </c>
      <c r="U35" s="51">
        <v>34.227414842850088</v>
      </c>
      <c r="V35" s="51">
        <v>35.53746469513208</v>
      </c>
      <c r="W35" s="38">
        <v>30.3</v>
      </c>
      <c r="X35" s="38">
        <v>30.3</v>
      </c>
      <c r="Y35" s="38">
        <v>29.844458846403111</v>
      </c>
      <c r="Z35" s="38">
        <v>29.405956886621688</v>
      </c>
      <c r="AA35" s="38">
        <v>29.705931217810267</v>
      </c>
      <c r="AB35" s="51">
        <v>62.7</v>
      </c>
      <c r="AC35" s="51">
        <v>62.6</v>
      </c>
      <c r="AD35" s="51">
        <v>63.302009073233954</v>
      </c>
      <c r="AE35" s="51">
        <v>63.633371729471776</v>
      </c>
      <c r="AF35" s="51">
        <v>65.243395912942347</v>
      </c>
      <c r="AG35" s="39">
        <v>3.5</v>
      </c>
      <c r="AH35" s="39">
        <v>4.0893961008083686</v>
      </c>
      <c r="AI35" s="39">
        <v>4.0383406662476435</v>
      </c>
      <c r="AJ35" s="39">
        <v>4.5499342969776615</v>
      </c>
      <c r="AK35" s="39">
        <v>3.8499834052439432</v>
      </c>
      <c r="AL35" s="43">
        <v>324.75</v>
      </c>
      <c r="AM35" s="43">
        <v>297.83333333333331</v>
      </c>
      <c r="AN35" s="43">
        <v>300.33333333333331</v>
      </c>
      <c r="AO35" s="43">
        <v>297.25</v>
      </c>
      <c r="AP35" s="43">
        <v>281.41666666666669</v>
      </c>
      <c r="AQ35" s="190">
        <v>54134.129692832765</v>
      </c>
      <c r="AR35" s="190">
        <v>51546.078469646687</v>
      </c>
      <c r="AS35" s="190">
        <v>53751.209837366128</v>
      </c>
      <c r="AT35" s="190">
        <v>51354.677192276751</v>
      </c>
      <c r="AU35" s="190">
        <v>50059.03</v>
      </c>
      <c r="AV35" s="162">
        <v>55536.600000000006</v>
      </c>
      <c r="AW35" s="162">
        <v>58652.880000000005</v>
      </c>
      <c r="AX35" s="162">
        <v>55848</v>
      </c>
      <c r="AY35" s="161">
        <v>55621.03</v>
      </c>
      <c r="AZ35" s="161">
        <v>55981</v>
      </c>
      <c r="BA35" s="49">
        <v>9.6</v>
      </c>
      <c r="BB35" s="49">
        <v>9.8000000000000007</v>
      </c>
      <c r="BC35" s="49">
        <v>9.1999999999999993</v>
      </c>
      <c r="BD35" s="49">
        <v>8.6999999999999993</v>
      </c>
      <c r="BE35" s="49">
        <v>8.6</v>
      </c>
      <c r="BF35" s="42">
        <v>14</v>
      </c>
      <c r="BG35" s="42">
        <v>15</v>
      </c>
      <c r="BH35" s="42">
        <v>13</v>
      </c>
      <c r="BI35" s="42">
        <v>12.1</v>
      </c>
      <c r="BJ35" s="42">
        <v>11.9</v>
      </c>
      <c r="BK35" s="36">
        <v>1532</v>
      </c>
      <c r="BL35" s="36">
        <v>1483</v>
      </c>
      <c r="BM35" s="36">
        <v>1439</v>
      </c>
      <c r="BN35" s="36">
        <v>1434</v>
      </c>
      <c r="BO35" s="40">
        <v>36.422976501305484</v>
      </c>
      <c r="BP35" s="40">
        <v>37.221847606203639</v>
      </c>
      <c r="BQ35" s="40">
        <v>37.595552466990966</v>
      </c>
      <c r="BR35" s="40">
        <v>39.191073919107396</v>
      </c>
      <c r="BS35" s="51">
        <v>2.4804177545691908</v>
      </c>
      <c r="BT35" s="51">
        <v>2.22521915037087</v>
      </c>
      <c r="BU35" s="51">
        <v>1.8763029881862405</v>
      </c>
      <c r="BV35" s="51">
        <v>1.9525801952580195</v>
      </c>
      <c r="BW35" s="39">
        <v>18.603133159268928</v>
      </c>
      <c r="BX35" s="39">
        <v>20.026972353337829</v>
      </c>
      <c r="BY35" s="39">
        <v>17.095205003474636</v>
      </c>
      <c r="BZ35" s="39">
        <v>18.270571827057182</v>
      </c>
      <c r="CA35" s="40">
        <v>97.65625</v>
      </c>
      <c r="CB35" s="40">
        <v>93.45794392523365</v>
      </c>
      <c r="CC35" s="40">
        <v>97.66</v>
      </c>
      <c r="CD35" s="40">
        <v>91.94</v>
      </c>
      <c r="CE35" s="40">
        <v>1.5625</v>
      </c>
      <c r="CF35" s="40">
        <v>1.8691588785046729</v>
      </c>
      <c r="CG35" s="40">
        <v>1.56</v>
      </c>
      <c r="CH35" s="40">
        <v>2.42</v>
      </c>
      <c r="CI35" s="105">
        <v>557</v>
      </c>
      <c r="CJ35" s="105">
        <v>575</v>
      </c>
      <c r="CK35" s="104">
        <v>523</v>
      </c>
      <c r="CL35" s="104">
        <v>564</v>
      </c>
      <c r="CM35" s="39">
        <v>9.837165765956696</v>
      </c>
      <c r="CN35" s="39">
        <v>12.936174042160678</v>
      </c>
      <c r="CO35" s="39">
        <v>10.005930857678548</v>
      </c>
      <c r="CP35" s="39">
        <v>11.168759158778565</v>
      </c>
      <c r="CQ35" s="104">
        <v>20</v>
      </c>
      <c r="CR35" s="104">
        <v>39</v>
      </c>
      <c r="CS35" s="104">
        <v>30</v>
      </c>
      <c r="CT35" s="104">
        <v>27</v>
      </c>
      <c r="CU35" s="39">
        <v>3.7</v>
      </c>
      <c r="CV35" s="39">
        <v>6.9</v>
      </c>
      <c r="CW35" s="39">
        <v>5.9</v>
      </c>
      <c r="CX35" s="39">
        <v>5</v>
      </c>
      <c r="CY35" s="36">
        <v>43</v>
      </c>
      <c r="CZ35" s="104">
        <v>71</v>
      </c>
      <c r="DA35" s="104">
        <v>44</v>
      </c>
      <c r="DB35" s="104">
        <v>37</v>
      </c>
      <c r="DC35" s="39">
        <v>8.1999999999999993</v>
      </c>
      <c r="DD35" s="39">
        <v>13.5</v>
      </c>
      <c r="DE35" s="39">
        <v>9.4</v>
      </c>
      <c r="DF35" s="39">
        <v>6.9</v>
      </c>
      <c r="DG35" s="39">
        <v>87.3</v>
      </c>
      <c r="DH35" s="39">
        <v>89.1</v>
      </c>
      <c r="DI35" s="39">
        <v>87.9</v>
      </c>
      <c r="DJ35" s="39">
        <v>92.4</v>
      </c>
      <c r="DK35" s="39">
        <v>9.6999999999999993</v>
      </c>
      <c r="DL35" s="39">
        <v>12.8</v>
      </c>
      <c r="DM35" s="39">
        <v>16.5</v>
      </c>
      <c r="DN35" s="39">
        <v>11.7</v>
      </c>
      <c r="DO35" s="39">
        <v>21.2</v>
      </c>
      <c r="DP35" s="39">
        <v>24</v>
      </c>
      <c r="DQ35" s="39">
        <v>37.1</v>
      </c>
      <c r="DR35" s="39">
        <v>31</v>
      </c>
      <c r="DS35" s="39">
        <v>22</v>
      </c>
      <c r="DT35" s="39">
        <v>19.2</v>
      </c>
      <c r="DU35" s="39">
        <v>21.1</v>
      </c>
      <c r="DV35" s="39">
        <v>17.2</v>
      </c>
      <c r="DW35" s="45">
        <v>93</v>
      </c>
      <c r="DX35" s="45">
        <v>2</v>
      </c>
      <c r="DY35" s="15">
        <v>2</v>
      </c>
      <c r="DZ35" s="45">
        <v>3</v>
      </c>
      <c r="EA35" s="45">
        <v>4</v>
      </c>
      <c r="EB35" s="45">
        <v>1</v>
      </c>
      <c r="EC35" s="45">
        <v>3</v>
      </c>
      <c r="ED35" s="45">
        <v>2</v>
      </c>
      <c r="EE35" s="45">
        <v>5</v>
      </c>
      <c r="EF35" s="104">
        <v>631</v>
      </c>
      <c r="EG35" s="104">
        <v>555</v>
      </c>
      <c r="EH35" s="104">
        <v>569</v>
      </c>
      <c r="EI35" s="104">
        <v>522</v>
      </c>
      <c r="EJ35" s="174">
        <v>94</v>
      </c>
      <c r="EK35" s="174"/>
      <c r="EL35" s="174"/>
      <c r="EM35" s="174"/>
      <c r="EN35" s="174"/>
      <c r="EO35" s="39">
        <v>1119.9860000000001</v>
      </c>
      <c r="EP35" s="39">
        <v>992.66700000000003</v>
      </c>
      <c r="EQ35" s="39">
        <v>1108.5139999999999</v>
      </c>
      <c r="ER35" s="39">
        <v>1035.817</v>
      </c>
      <c r="ES35" s="39">
        <v>662.10599999999999</v>
      </c>
      <c r="ET35" s="39">
        <v>572.21900000000005</v>
      </c>
      <c r="EU35" s="39">
        <v>622.58399999999995</v>
      </c>
      <c r="EV35" s="39">
        <v>592.56100000000004</v>
      </c>
      <c r="EW35" s="39">
        <v>790.24400000000003</v>
      </c>
      <c r="EX35" s="39">
        <v>677.93600000000004</v>
      </c>
      <c r="EY35" s="39">
        <v>740.49900000000002</v>
      </c>
      <c r="EZ35" s="39">
        <v>690.93200000000002</v>
      </c>
      <c r="FA35" s="39">
        <v>563.36599999999999</v>
      </c>
      <c r="FB35" s="39">
        <v>478.69900000000001</v>
      </c>
      <c r="FC35" s="39">
        <v>518.21900000000005</v>
      </c>
      <c r="FD35" s="39">
        <v>504.09199999999998</v>
      </c>
      <c r="FE35" s="44">
        <v>131</v>
      </c>
      <c r="FF35" s="44">
        <v>128</v>
      </c>
      <c r="FG35" s="44">
        <v>115</v>
      </c>
      <c r="FH35" s="44">
        <v>142</v>
      </c>
      <c r="FI35" s="39">
        <v>151.685</v>
      </c>
      <c r="FJ35" s="39">
        <v>153.755</v>
      </c>
      <c r="FK35" s="39">
        <v>143.65100000000001</v>
      </c>
      <c r="FL35" s="39">
        <v>170.45599999999999</v>
      </c>
      <c r="FM35" s="45">
        <v>175</v>
      </c>
      <c r="FN35" s="45">
        <v>144</v>
      </c>
      <c r="FO35" s="36">
        <v>163</v>
      </c>
      <c r="FP35" s="45">
        <v>119</v>
      </c>
      <c r="FQ35" s="39">
        <v>177.07900000000001</v>
      </c>
      <c r="FR35" s="39">
        <v>132.24100000000001</v>
      </c>
      <c r="FS35" s="39">
        <v>161.74799999999999</v>
      </c>
      <c r="FT35" s="39">
        <v>124.11199999999999</v>
      </c>
      <c r="FU35" s="43">
        <v>46</v>
      </c>
      <c r="FV35" s="43">
        <v>41</v>
      </c>
      <c r="FW35" s="43">
        <v>25</v>
      </c>
      <c r="FX35" s="45">
        <v>26</v>
      </c>
      <c r="FY35" s="39">
        <v>45.218000000000004</v>
      </c>
      <c r="FZ35" s="39">
        <v>39.606999999999999</v>
      </c>
      <c r="GA35" s="39">
        <v>24.757000000000001</v>
      </c>
      <c r="GB35" s="39">
        <v>23.527000000000001</v>
      </c>
      <c r="GC35" s="150">
        <v>24</v>
      </c>
      <c r="GD35" s="150">
        <v>30</v>
      </c>
      <c r="GE35" s="150">
        <v>18</v>
      </c>
      <c r="GF35" s="150">
        <v>25</v>
      </c>
      <c r="GG35" s="182">
        <v>33.908000000000001</v>
      </c>
      <c r="GH35" s="182">
        <v>36.795000000000002</v>
      </c>
      <c r="GI35" s="182">
        <v>31.425999999999998</v>
      </c>
      <c r="GJ35" s="182">
        <v>37.738999999999997</v>
      </c>
      <c r="GK35" s="182"/>
      <c r="GL35" s="114"/>
      <c r="GM35" s="114"/>
      <c r="GN35" s="114"/>
      <c r="GP35" s="114"/>
      <c r="GQ35" s="114"/>
      <c r="GR35" s="114"/>
      <c r="GS35" s="114"/>
      <c r="GU35" s="114"/>
      <c r="GV35" s="114"/>
      <c r="GW35" s="114"/>
      <c r="GX35" s="114"/>
      <c r="HE35" s="113"/>
      <c r="HF35" s="113"/>
      <c r="HG35" s="113"/>
      <c r="HH35" s="113"/>
      <c r="HI35" s="113"/>
      <c r="HJ35" s="115"/>
      <c r="HK35" s="115"/>
      <c r="HL35" s="114"/>
      <c r="HV35" s="116"/>
    </row>
    <row r="36" spans="1:230" x14ac:dyDescent="0.2">
      <c r="A36" s="128">
        <v>33</v>
      </c>
      <c r="B36" s="129" t="s">
        <v>79</v>
      </c>
      <c r="C36" s="117">
        <v>15996</v>
      </c>
      <c r="D36" s="117">
        <v>15930</v>
      </c>
      <c r="E36" s="117">
        <v>15837</v>
      </c>
      <c r="F36" s="117">
        <v>15830</v>
      </c>
      <c r="G36" s="151">
        <v>16024</v>
      </c>
      <c r="H36" s="155">
        <v>15368</v>
      </c>
      <c r="I36" s="155">
        <v>151</v>
      </c>
      <c r="J36" s="155">
        <v>162</v>
      </c>
      <c r="K36" s="155">
        <v>87</v>
      </c>
      <c r="L36" s="155">
        <v>256</v>
      </c>
      <c r="M36" s="40">
        <v>6375</v>
      </c>
      <c r="N36" s="40">
        <v>6366</v>
      </c>
      <c r="O36" s="40">
        <v>6347</v>
      </c>
      <c r="P36" s="106">
        <v>6330</v>
      </c>
      <c r="Q36" s="106">
        <v>6379</v>
      </c>
      <c r="R36" s="51">
        <v>28.5</v>
      </c>
      <c r="S36" s="51">
        <v>29.2</v>
      </c>
      <c r="T36" s="51">
        <v>29.897938763257955</v>
      </c>
      <c r="U36" s="51">
        <v>31.753076457534803</v>
      </c>
      <c r="V36" s="51">
        <v>32.648356054530872</v>
      </c>
      <c r="W36" s="38">
        <v>28.7</v>
      </c>
      <c r="X36" s="38">
        <v>28.1</v>
      </c>
      <c r="Y36" s="38">
        <v>28.567140284170499</v>
      </c>
      <c r="Z36" s="38">
        <v>27.920112971555376</v>
      </c>
      <c r="AA36" s="38">
        <v>27.977145148356051</v>
      </c>
      <c r="AB36" s="51">
        <v>57.1</v>
      </c>
      <c r="AC36" s="51">
        <v>57.3</v>
      </c>
      <c r="AD36" s="51">
        <v>58.465079047428461</v>
      </c>
      <c r="AE36" s="51">
        <v>59.673189429090179</v>
      </c>
      <c r="AF36" s="51">
        <v>60.62550120288693</v>
      </c>
      <c r="AG36" s="39">
        <v>9.1999999999999993</v>
      </c>
      <c r="AH36" s="39">
        <v>7.4057349288778509</v>
      </c>
      <c r="AI36" s="39">
        <v>6.75277588941763</v>
      </c>
      <c r="AJ36" s="39">
        <v>6.5579264886604847</v>
      </c>
      <c r="AK36" s="39">
        <v>6.240335763198587</v>
      </c>
      <c r="AL36" s="43">
        <v>919.08333333333337</v>
      </c>
      <c r="AM36" s="43">
        <v>877.08333333333337</v>
      </c>
      <c r="AN36" s="43">
        <v>837</v>
      </c>
      <c r="AO36" s="43">
        <v>847.08333333333337</v>
      </c>
      <c r="AP36" s="43">
        <v>842.66666666666663</v>
      </c>
      <c r="AQ36" s="190">
        <v>34956.323777403035</v>
      </c>
      <c r="AR36" s="190">
        <v>36922.773420342601</v>
      </c>
      <c r="AS36" s="190">
        <v>39005.719342604301</v>
      </c>
      <c r="AT36" s="190">
        <v>40295.512950094759</v>
      </c>
      <c r="AU36" s="190">
        <v>42625.520000000004</v>
      </c>
      <c r="AV36" s="162">
        <v>46440.450000000004</v>
      </c>
      <c r="AW36" s="162">
        <v>48817.599999999999</v>
      </c>
      <c r="AX36" s="162">
        <v>50864.32</v>
      </c>
      <c r="AY36" s="161">
        <v>50374.21</v>
      </c>
      <c r="AZ36" s="161">
        <v>53181</v>
      </c>
      <c r="BA36" s="49">
        <v>14.2</v>
      </c>
      <c r="BB36" s="49">
        <v>13.8</v>
      </c>
      <c r="BC36" s="49">
        <v>11.7</v>
      </c>
      <c r="BD36" s="49">
        <v>13.2</v>
      </c>
      <c r="BE36" s="49">
        <v>9.4</v>
      </c>
      <c r="BF36" s="42">
        <v>21.6</v>
      </c>
      <c r="BG36" s="42">
        <v>21</v>
      </c>
      <c r="BH36" s="42">
        <v>18.2</v>
      </c>
      <c r="BI36" s="42">
        <v>20</v>
      </c>
      <c r="BJ36" s="42">
        <v>16.5</v>
      </c>
      <c r="BK36" s="36">
        <v>2206</v>
      </c>
      <c r="BL36" s="36">
        <v>2137</v>
      </c>
      <c r="BM36" s="36">
        <v>2158</v>
      </c>
      <c r="BN36" s="36">
        <v>2159</v>
      </c>
      <c r="BO36" s="40">
        <v>43.064369900271984</v>
      </c>
      <c r="BP36" s="40">
        <v>42.77023865231633</v>
      </c>
      <c r="BQ36" s="40">
        <v>44.763670064874887</v>
      </c>
      <c r="BR36" s="40">
        <v>42.102825382121353</v>
      </c>
      <c r="BS36" s="51">
        <v>0</v>
      </c>
      <c r="BT36" s="51">
        <v>0.23397285914833879</v>
      </c>
      <c r="BU36" s="51">
        <v>0.13901760889712697</v>
      </c>
      <c r="BV36" s="51">
        <v>0.13895321908290875</v>
      </c>
      <c r="BW36" s="39">
        <v>14.823209428830463</v>
      </c>
      <c r="BX36" s="39">
        <v>15.208235844642022</v>
      </c>
      <c r="BY36" s="39">
        <v>15.477293790546803</v>
      </c>
      <c r="BZ36" s="39">
        <v>17.878647522000925</v>
      </c>
      <c r="CA36" s="40">
        <v>84.73684210526315</v>
      </c>
      <c r="CB36" s="40">
        <v>86.013986013986013</v>
      </c>
      <c r="CC36" s="40">
        <v>92.18</v>
      </c>
      <c r="CD36" s="40">
        <v>89.05</v>
      </c>
      <c r="CE36" s="40">
        <v>2.6315789473684208</v>
      </c>
      <c r="CF36" s="40">
        <v>4.8611111111111107</v>
      </c>
      <c r="CG36" s="40">
        <v>3.91</v>
      </c>
      <c r="CH36" s="40">
        <v>2.19</v>
      </c>
      <c r="CI36" s="105">
        <v>847</v>
      </c>
      <c r="CJ36" s="105">
        <v>940</v>
      </c>
      <c r="CK36" s="104">
        <v>786</v>
      </c>
      <c r="CL36" s="104">
        <v>823</v>
      </c>
      <c r="CM36" s="39">
        <v>11.397736600594781</v>
      </c>
      <c r="CN36" s="39">
        <v>14.542754150099789</v>
      </c>
      <c r="CO36" s="39">
        <v>9.7757546360210448</v>
      </c>
      <c r="CP36" s="39">
        <v>10.336988331637716</v>
      </c>
      <c r="CQ36" s="104">
        <v>35</v>
      </c>
      <c r="CR36" s="104">
        <v>32</v>
      </c>
      <c r="CS36" s="104">
        <v>30</v>
      </c>
      <c r="CT36" s="104">
        <v>38</v>
      </c>
      <c r="CU36" s="39">
        <v>4.3</v>
      </c>
      <c r="CV36" s="39">
        <v>3.5</v>
      </c>
      <c r="CW36" s="39">
        <v>3.9</v>
      </c>
      <c r="CX36" s="39">
        <v>4.8</v>
      </c>
      <c r="CY36" s="36">
        <v>49</v>
      </c>
      <c r="CZ36" s="104">
        <v>44</v>
      </c>
      <c r="DA36" s="104">
        <v>42</v>
      </c>
      <c r="DB36" s="104">
        <v>52</v>
      </c>
      <c r="DC36" s="39">
        <v>7</v>
      </c>
      <c r="DD36" s="39">
        <v>7.9</v>
      </c>
      <c r="DE36" s="39">
        <v>6.9</v>
      </c>
      <c r="DF36" s="39">
        <v>6.6</v>
      </c>
      <c r="DG36" s="39">
        <v>81.599999999999994</v>
      </c>
      <c r="DH36" s="39">
        <v>84.9</v>
      </c>
      <c r="DI36" s="39">
        <v>83.6</v>
      </c>
      <c r="DJ36" s="39">
        <v>84</v>
      </c>
      <c r="DK36" s="39">
        <v>24.1</v>
      </c>
      <c r="DL36" s="39">
        <v>25.5</v>
      </c>
      <c r="DM36" s="39">
        <v>24.6</v>
      </c>
      <c r="DN36" s="39">
        <v>24</v>
      </c>
      <c r="DO36" s="39">
        <v>35.799999999999997</v>
      </c>
      <c r="DP36" s="39">
        <v>37.700000000000003</v>
      </c>
      <c r="DQ36" s="39">
        <v>40.6</v>
      </c>
      <c r="DR36" s="39">
        <v>47.4</v>
      </c>
      <c r="DS36" s="39">
        <v>34</v>
      </c>
      <c r="DT36" s="39">
        <v>34.9</v>
      </c>
      <c r="DU36" s="39">
        <v>26.7</v>
      </c>
      <c r="DV36" s="39">
        <v>18.3</v>
      </c>
      <c r="DW36" s="45">
        <v>170</v>
      </c>
      <c r="DX36" s="45">
        <v>2</v>
      </c>
      <c r="DY36" s="15">
        <v>1</v>
      </c>
      <c r="DZ36" s="45">
        <v>6</v>
      </c>
      <c r="EA36" s="45">
        <v>1</v>
      </c>
      <c r="EB36" s="45">
        <v>7</v>
      </c>
      <c r="EC36" s="45">
        <v>3</v>
      </c>
      <c r="ED36" s="45">
        <v>2</v>
      </c>
      <c r="EE36" s="45">
        <v>5</v>
      </c>
      <c r="EF36" s="104">
        <v>664</v>
      </c>
      <c r="EG36" s="104">
        <v>603</v>
      </c>
      <c r="EH36" s="104">
        <v>728</v>
      </c>
      <c r="EI36" s="104">
        <v>771</v>
      </c>
      <c r="EJ36" s="174">
        <v>147</v>
      </c>
      <c r="EK36" s="174">
        <v>1</v>
      </c>
      <c r="EL36" s="174">
        <v>2</v>
      </c>
      <c r="EM36" s="174"/>
      <c r="EN36" s="174"/>
      <c r="EO36" s="39">
        <v>885.56899999999996</v>
      </c>
      <c r="EP36" s="39">
        <v>743.75599999999997</v>
      </c>
      <c r="EQ36" s="39">
        <v>896.60699999999997</v>
      </c>
      <c r="ER36" s="39">
        <v>973.66899999999998</v>
      </c>
      <c r="ES36" s="39">
        <v>849.59400000000005</v>
      </c>
      <c r="ET36" s="39">
        <v>636.18600000000004</v>
      </c>
      <c r="EU36" s="39">
        <v>734.28099999999995</v>
      </c>
      <c r="EV36" s="39">
        <v>722.54899999999998</v>
      </c>
      <c r="EW36" s="39">
        <v>1006.754</v>
      </c>
      <c r="EX36" s="39">
        <v>770.22900000000004</v>
      </c>
      <c r="EY36" s="39">
        <v>884.24800000000005</v>
      </c>
      <c r="EZ36" s="39">
        <v>845.49300000000005</v>
      </c>
      <c r="FA36" s="39">
        <v>715.01400000000001</v>
      </c>
      <c r="FB36" s="39">
        <v>533.31600000000003</v>
      </c>
      <c r="FC36" s="39">
        <v>597.46100000000001</v>
      </c>
      <c r="FD36" s="39">
        <v>619.50900000000001</v>
      </c>
      <c r="FE36" s="44">
        <v>163</v>
      </c>
      <c r="FF36" s="44">
        <v>170</v>
      </c>
      <c r="FG36" s="44">
        <v>180</v>
      </c>
      <c r="FH36" s="44">
        <v>173</v>
      </c>
      <c r="FI36" s="39">
        <v>201.55500000000001</v>
      </c>
      <c r="FJ36" s="39">
        <v>180.69900000000001</v>
      </c>
      <c r="FK36" s="39">
        <v>172.084</v>
      </c>
      <c r="FL36" s="39">
        <v>153.55099999999999</v>
      </c>
      <c r="FM36" s="45">
        <v>155</v>
      </c>
      <c r="FN36" s="45">
        <v>123</v>
      </c>
      <c r="FO36" s="36">
        <v>149</v>
      </c>
      <c r="FP36" s="45">
        <v>132</v>
      </c>
      <c r="FQ36" s="39">
        <v>196.90899999999999</v>
      </c>
      <c r="FR36" s="39">
        <v>126.283</v>
      </c>
      <c r="FS36" s="39">
        <v>150.12299999999999</v>
      </c>
      <c r="FT36" s="39">
        <v>122.116</v>
      </c>
      <c r="FU36" s="43">
        <v>43</v>
      </c>
      <c r="FV36" s="43">
        <v>32</v>
      </c>
      <c r="FW36" s="43">
        <v>48</v>
      </c>
      <c r="FX36" s="45">
        <v>31</v>
      </c>
      <c r="FY36" s="39">
        <v>55.374000000000002</v>
      </c>
      <c r="FZ36" s="39">
        <v>33.151000000000003</v>
      </c>
      <c r="GA36" s="39">
        <v>48.825000000000003</v>
      </c>
      <c r="GB36" s="39">
        <v>28.382999999999999</v>
      </c>
      <c r="GC36" s="150">
        <v>56</v>
      </c>
      <c r="GD36" s="150">
        <v>37</v>
      </c>
      <c r="GE36" s="150">
        <v>42</v>
      </c>
      <c r="GF36" s="150">
        <v>53</v>
      </c>
      <c r="GG36" s="182">
        <v>75.02</v>
      </c>
      <c r="GH36" s="182">
        <v>43.387</v>
      </c>
      <c r="GI36" s="182">
        <v>48.113999999999997</v>
      </c>
      <c r="GJ36" s="182">
        <v>58.996000000000002</v>
      </c>
      <c r="GK36" s="182"/>
      <c r="GL36" s="114"/>
      <c r="GM36" s="114"/>
      <c r="GN36" s="114"/>
      <c r="GP36" s="114"/>
      <c r="GQ36" s="114"/>
      <c r="GR36" s="114"/>
      <c r="GS36" s="114"/>
      <c r="GU36" s="114"/>
      <c r="GV36" s="114"/>
      <c r="GW36" s="114"/>
      <c r="GX36" s="114"/>
      <c r="HE36" s="113"/>
      <c r="HF36" s="113"/>
      <c r="HG36" s="113"/>
      <c r="HH36" s="113"/>
      <c r="HI36" s="113"/>
      <c r="HJ36" s="115"/>
      <c r="HK36" s="115"/>
      <c r="HL36" s="114"/>
      <c r="HV36" s="116"/>
    </row>
    <row r="37" spans="1:230" x14ac:dyDescent="0.2">
      <c r="A37" s="128">
        <v>34</v>
      </c>
      <c r="B37" s="129" t="s">
        <v>80</v>
      </c>
      <c r="C37" s="117">
        <v>42410</v>
      </c>
      <c r="D37" s="117">
        <v>42285</v>
      </c>
      <c r="E37" s="117">
        <v>42542</v>
      </c>
      <c r="F37" s="117">
        <v>42495</v>
      </c>
      <c r="G37" s="151">
        <v>42743</v>
      </c>
      <c r="H37" s="155">
        <v>34606</v>
      </c>
      <c r="I37" s="155">
        <v>2300</v>
      </c>
      <c r="J37" s="155">
        <v>154</v>
      </c>
      <c r="K37" s="155">
        <v>409</v>
      </c>
      <c r="L37" s="155">
        <v>5274</v>
      </c>
      <c r="M37" s="40">
        <v>16842</v>
      </c>
      <c r="N37" s="40">
        <v>16825</v>
      </c>
      <c r="O37" s="40">
        <v>16888</v>
      </c>
      <c r="P37" s="106">
        <v>16909</v>
      </c>
      <c r="Q37" s="106">
        <v>17014</v>
      </c>
      <c r="R37" s="51">
        <v>27</v>
      </c>
      <c r="S37" s="51">
        <v>27.8</v>
      </c>
      <c r="T37" s="51">
        <v>28.448829911912593</v>
      </c>
      <c r="U37" s="51">
        <v>29.197775407587994</v>
      </c>
      <c r="V37" s="51">
        <v>29.932778244595525</v>
      </c>
      <c r="W37" s="38">
        <v>31.2</v>
      </c>
      <c r="X37" s="38">
        <v>31.5</v>
      </c>
      <c r="Y37" s="38">
        <v>32.384408907035649</v>
      </c>
      <c r="Z37" s="38">
        <v>32.675605668139568</v>
      </c>
      <c r="AA37" s="38">
        <v>33.320601940264304</v>
      </c>
      <c r="AB37" s="51">
        <v>58.2</v>
      </c>
      <c r="AC37" s="51">
        <v>59.3</v>
      </c>
      <c r="AD37" s="51">
        <v>60.833238818948246</v>
      </c>
      <c r="AE37" s="51">
        <v>61.873381075727565</v>
      </c>
      <c r="AF37" s="51">
        <v>63.253380184859829</v>
      </c>
      <c r="AG37" s="39">
        <v>4.5999999999999996</v>
      </c>
      <c r="AH37" s="39">
        <v>4.1600134465081098</v>
      </c>
      <c r="AI37" s="39">
        <v>3.7546622461665979</v>
      </c>
      <c r="AJ37" s="39">
        <v>3.8437564928319139</v>
      </c>
      <c r="AK37" s="39">
        <v>3.4532433322357585</v>
      </c>
      <c r="AL37" s="43">
        <v>2420.3333333333335</v>
      </c>
      <c r="AM37" s="43">
        <v>2145.4166666666665</v>
      </c>
      <c r="AN37" s="43">
        <v>2091.3333333333335</v>
      </c>
      <c r="AO37" s="43">
        <v>2001</v>
      </c>
      <c r="AP37" s="43">
        <v>1950.1666666666667</v>
      </c>
      <c r="AQ37" s="190">
        <v>47448.963474827244</v>
      </c>
      <c r="AR37" s="190">
        <v>48529.515741917268</v>
      </c>
      <c r="AS37" s="190">
        <v>51804.995418125429</v>
      </c>
      <c r="AT37" s="190">
        <v>52536.617013766321</v>
      </c>
      <c r="AU37" s="190">
        <v>53009.98</v>
      </c>
      <c r="AV37" s="162">
        <v>51442.65</v>
      </c>
      <c r="AW37" s="162">
        <v>55421.599999999999</v>
      </c>
      <c r="AX37" s="162">
        <v>59701.200000000004</v>
      </c>
      <c r="AY37" s="161">
        <v>54174.91</v>
      </c>
      <c r="AZ37" s="161">
        <v>59816</v>
      </c>
      <c r="BA37" s="49">
        <v>11.9</v>
      </c>
      <c r="BB37" s="49">
        <v>11.5</v>
      </c>
      <c r="BC37" s="49">
        <v>10.9</v>
      </c>
      <c r="BD37" s="49">
        <v>11.5</v>
      </c>
      <c r="BE37" s="49">
        <v>10.6</v>
      </c>
      <c r="BF37" s="42">
        <v>18.100000000000001</v>
      </c>
      <c r="BG37" s="42">
        <v>18.7</v>
      </c>
      <c r="BH37" s="42">
        <v>16.8</v>
      </c>
      <c r="BI37" s="42">
        <v>16.7</v>
      </c>
      <c r="BJ37" s="42">
        <v>14.3</v>
      </c>
      <c r="BK37" s="36">
        <v>5559</v>
      </c>
      <c r="BL37" s="36">
        <v>5755</v>
      </c>
      <c r="BM37" s="36">
        <v>5825</v>
      </c>
      <c r="BN37" s="36">
        <v>6532</v>
      </c>
      <c r="BO37" s="40">
        <v>50.728548300053966</v>
      </c>
      <c r="BP37" s="40">
        <v>52.145960034752392</v>
      </c>
      <c r="BQ37" s="40">
        <v>52.446351931330469</v>
      </c>
      <c r="BR37" s="40">
        <v>52.418860992039193</v>
      </c>
      <c r="BS37" s="51">
        <v>18.168735384061883</v>
      </c>
      <c r="BT37" s="51">
        <v>18.40139009556907</v>
      </c>
      <c r="BU37" s="51">
        <v>17.562231759656651</v>
      </c>
      <c r="BV37" s="51">
        <v>16.549295774647888</v>
      </c>
      <c r="BW37" s="39">
        <v>12.358337830545063</v>
      </c>
      <c r="BX37" s="39">
        <v>12.406602953953085</v>
      </c>
      <c r="BY37" s="39">
        <v>11.639484978540773</v>
      </c>
      <c r="BZ37" s="39">
        <v>13.426209430496019</v>
      </c>
      <c r="CA37" s="40">
        <v>70.347648261758692</v>
      </c>
      <c r="CB37" s="40">
        <v>71.334792122538289</v>
      </c>
      <c r="CC37" s="40">
        <v>70.89</v>
      </c>
      <c r="CD37" s="40">
        <v>73.13</v>
      </c>
      <c r="CE37" s="40">
        <v>5.112474437627812</v>
      </c>
      <c r="CF37" s="40">
        <v>8.0962800875273526</v>
      </c>
      <c r="CG37" s="40">
        <v>7.11</v>
      </c>
      <c r="CH37" s="40">
        <v>8.1300000000000008</v>
      </c>
      <c r="CI37" s="105">
        <v>2609</v>
      </c>
      <c r="CJ37" s="105">
        <v>2992</v>
      </c>
      <c r="CK37" s="104">
        <v>2818</v>
      </c>
      <c r="CL37" s="104">
        <v>2989</v>
      </c>
      <c r="CM37" s="39">
        <v>12.720251967275457</v>
      </c>
      <c r="CN37" s="39">
        <v>18.214803180285152</v>
      </c>
      <c r="CO37" s="39">
        <v>13.509561682319157</v>
      </c>
      <c r="CP37" s="39">
        <v>14.067537357336157</v>
      </c>
      <c r="CQ37" s="104">
        <v>90</v>
      </c>
      <c r="CR37" s="104">
        <v>122</v>
      </c>
      <c r="CS37" s="104">
        <v>118</v>
      </c>
      <c r="CT37" s="104">
        <v>121</v>
      </c>
      <c r="CU37" s="39">
        <v>3.5</v>
      </c>
      <c r="CV37" s="39">
        <v>4.2</v>
      </c>
      <c r="CW37" s="39">
        <v>4.3</v>
      </c>
      <c r="CX37" s="39">
        <v>4.2</v>
      </c>
      <c r="CY37" s="36">
        <v>153</v>
      </c>
      <c r="CZ37" s="104">
        <v>182</v>
      </c>
      <c r="DA37" s="104">
        <v>180</v>
      </c>
      <c r="DB37" s="104">
        <v>173</v>
      </c>
      <c r="DC37" s="39">
        <v>6.3</v>
      </c>
      <c r="DD37" s="39">
        <v>6.5</v>
      </c>
      <c r="DE37" s="39">
        <v>6.7</v>
      </c>
      <c r="DF37" s="39">
        <v>6</v>
      </c>
      <c r="DG37" s="39">
        <v>82.8</v>
      </c>
      <c r="DH37" s="39">
        <v>84.8</v>
      </c>
      <c r="DI37" s="39">
        <v>84.5</v>
      </c>
      <c r="DJ37" s="39">
        <v>79.099999999999994</v>
      </c>
      <c r="DK37" s="39">
        <v>10.199999999999999</v>
      </c>
      <c r="DL37" s="39">
        <v>9.1999999999999993</v>
      </c>
      <c r="DM37" s="39">
        <v>10.8</v>
      </c>
      <c r="DN37" s="39">
        <v>10.1</v>
      </c>
      <c r="DO37" s="39">
        <v>30.2</v>
      </c>
      <c r="DP37" s="39">
        <v>36.1</v>
      </c>
      <c r="DQ37" s="39">
        <v>39.299999999999997</v>
      </c>
      <c r="DR37" s="39">
        <v>37.299999999999997</v>
      </c>
      <c r="DS37" s="39">
        <v>36.799999999999997</v>
      </c>
      <c r="DT37" s="39">
        <v>45</v>
      </c>
      <c r="DU37" s="39">
        <v>37.6</v>
      </c>
      <c r="DV37" s="39">
        <v>27.6</v>
      </c>
      <c r="DW37" s="45">
        <v>344</v>
      </c>
      <c r="DX37" s="45">
        <v>125</v>
      </c>
      <c r="DY37" s="15">
        <v>0</v>
      </c>
      <c r="DZ37" s="45">
        <v>12</v>
      </c>
      <c r="EA37" s="45">
        <v>118</v>
      </c>
      <c r="EB37" s="45">
        <v>9</v>
      </c>
      <c r="EC37" s="45">
        <v>9</v>
      </c>
      <c r="ED37" s="45">
        <v>15</v>
      </c>
      <c r="EE37" s="45">
        <v>11</v>
      </c>
      <c r="EF37" s="104">
        <v>1806</v>
      </c>
      <c r="EG37" s="104">
        <v>1810</v>
      </c>
      <c r="EH37" s="104">
        <v>1857</v>
      </c>
      <c r="EI37" s="104">
        <v>1889</v>
      </c>
      <c r="EJ37" s="174">
        <v>355</v>
      </c>
      <c r="EK37" s="174">
        <v>3</v>
      </c>
      <c r="EL37" s="174">
        <v>1</v>
      </c>
      <c r="EM37" s="174"/>
      <c r="EN37" s="174">
        <v>7</v>
      </c>
      <c r="EO37" s="39">
        <v>876.63499999999999</v>
      </c>
      <c r="EP37" s="39">
        <v>878.66200000000003</v>
      </c>
      <c r="EQ37" s="39">
        <v>879.28200000000004</v>
      </c>
      <c r="ER37" s="39">
        <v>888.06399999999996</v>
      </c>
      <c r="ES37" s="39">
        <v>718.48199999999997</v>
      </c>
      <c r="ET37" s="39">
        <v>650.08199999999999</v>
      </c>
      <c r="EU37" s="39">
        <v>626.77300000000002</v>
      </c>
      <c r="EV37" s="39">
        <v>607.66899999999998</v>
      </c>
      <c r="EW37" s="39">
        <v>858.4</v>
      </c>
      <c r="EX37" s="39">
        <v>765.44100000000003</v>
      </c>
      <c r="EY37" s="39">
        <v>751.92399999999998</v>
      </c>
      <c r="EZ37" s="39">
        <v>704.16</v>
      </c>
      <c r="FA37" s="39">
        <v>609.86300000000006</v>
      </c>
      <c r="FB37" s="39">
        <v>549.42700000000002</v>
      </c>
      <c r="FC37" s="39">
        <v>529.96400000000006</v>
      </c>
      <c r="FD37" s="39">
        <v>525.54200000000003</v>
      </c>
      <c r="FE37" s="44">
        <v>431</v>
      </c>
      <c r="FF37" s="44">
        <v>396</v>
      </c>
      <c r="FG37" s="44">
        <v>432</v>
      </c>
      <c r="FH37" s="44">
        <v>435</v>
      </c>
      <c r="FI37" s="39">
        <v>179.297</v>
      </c>
      <c r="FJ37" s="39">
        <v>152.792</v>
      </c>
      <c r="FK37" s="39">
        <v>154.41300000000001</v>
      </c>
      <c r="FL37" s="39">
        <v>149.58799999999999</v>
      </c>
      <c r="FM37" s="45">
        <v>469</v>
      </c>
      <c r="FN37" s="45">
        <v>387</v>
      </c>
      <c r="FO37" s="36">
        <v>386</v>
      </c>
      <c r="FP37" s="45">
        <v>358</v>
      </c>
      <c r="FQ37" s="39">
        <v>180.83600000000001</v>
      </c>
      <c r="FR37" s="39">
        <v>134.00899999999999</v>
      </c>
      <c r="FS37" s="39">
        <v>121.908</v>
      </c>
      <c r="FT37" s="39">
        <v>107.639</v>
      </c>
      <c r="FU37" s="43">
        <v>132</v>
      </c>
      <c r="FV37" s="43">
        <v>160</v>
      </c>
      <c r="FW37" s="43">
        <v>115</v>
      </c>
      <c r="FX37" s="45">
        <v>105</v>
      </c>
      <c r="FY37" s="39">
        <v>49.954999999999998</v>
      </c>
      <c r="FZ37" s="39">
        <v>54.710999999999999</v>
      </c>
      <c r="GA37" s="39">
        <v>35.481000000000002</v>
      </c>
      <c r="GB37" s="39">
        <v>30.532</v>
      </c>
      <c r="GC37" s="150">
        <v>85</v>
      </c>
      <c r="GD37" s="150">
        <v>115</v>
      </c>
      <c r="GE37" s="150">
        <v>97</v>
      </c>
      <c r="GF37" s="150">
        <v>112</v>
      </c>
      <c r="GG37" s="182">
        <v>38.402999999999999</v>
      </c>
      <c r="GH37" s="182">
        <v>49.316000000000003</v>
      </c>
      <c r="GI37" s="182">
        <v>37.469000000000001</v>
      </c>
      <c r="GJ37" s="182">
        <v>43.12</v>
      </c>
      <c r="GK37" s="182"/>
      <c r="GL37" s="114"/>
      <c r="GM37" s="114"/>
      <c r="GN37" s="114"/>
      <c r="GP37" s="114"/>
      <c r="GQ37" s="114"/>
      <c r="GR37" s="114"/>
      <c r="GS37" s="114"/>
      <c r="GU37" s="114"/>
      <c r="GV37" s="114"/>
      <c r="GW37" s="114"/>
      <c r="GX37" s="114"/>
      <c r="HE37" s="113"/>
      <c r="HF37" s="113"/>
      <c r="HG37" s="113"/>
      <c r="HH37" s="113"/>
      <c r="HI37" s="113"/>
      <c r="HJ37" s="115"/>
      <c r="HK37" s="115"/>
      <c r="HL37" s="114"/>
      <c r="HV37" s="116"/>
    </row>
    <row r="38" spans="1:230" x14ac:dyDescent="0.2">
      <c r="A38" s="128">
        <v>35</v>
      </c>
      <c r="B38" s="129" t="s">
        <v>81</v>
      </c>
      <c r="C38" s="117">
        <v>4503</v>
      </c>
      <c r="D38" s="117">
        <v>4435</v>
      </c>
      <c r="E38" s="117">
        <v>4424</v>
      </c>
      <c r="F38" s="117">
        <v>4333</v>
      </c>
      <c r="G38" s="151">
        <v>4250</v>
      </c>
      <c r="H38" s="155">
        <v>4101</v>
      </c>
      <c r="I38" s="155">
        <v>28</v>
      </c>
      <c r="J38" s="155">
        <v>9</v>
      </c>
      <c r="K38" s="155">
        <v>23</v>
      </c>
      <c r="L38" s="155">
        <v>89</v>
      </c>
      <c r="M38" s="40">
        <v>1973</v>
      </c>
      <c r="N38" s="40">
        <v>1949</v>
      </c>
      <c r="O38" s="40">
        <v>1942</v>
      </c>
      <c r="P38" s="106">
        <v>1917</v>
      </c>
      <c r="Q38" s="106">
        <v>1912</v>
      </c>
      <c r="R38" s="51">
        <v>38</v>
      </c>
      <c r="S38" s="51">
        <v>37.200000000000003</v>
      </c>
      <c r="T38" s="51">
        <v>37.792012057272039</v>
      </c>
      <c r="U38" s="51">
        <v>39.633671083398283</v>
      </c>
      <c r="V38" s="51">
        <v>41.247002398081534</v>
      </c>
      <c r="W38" s="38">
        <v>28.1</v>
      </c>
      <c r="X38" s="38">
        <v>27.9</v>
      </c>
      <c r="Y38" s="38">
        <v>28.899773926149209</v>
      </c>
      <c r="Z38" s="38">
        <v>29.228371005455962</v>
      </c>
      <c r="AA38" s="38">
        <v>28.617106314948042</v>
      </c>
      <c r="AB38" s="51">
        <v>66.2</v>
      </c>
      <c r="AC38" s="51">
        <v>65.2</v>
      </c>
      <c r="AD38" s="51">
        <v>66.691785983421255</v>
      </c>
      <c r="AE38" s="51">
        <v>68.862042088854253</v>
      </c>
      <c r="AF38" s="51">
        <v>69.864108713029566</v>
      </c>
      <c r="AG38" s="39">
        <v>5.3</v>
      </c>
      <c r="AH38" s="39">
        <v>4.8157453936348409</v>
      </c>
      <c r="AI38" s="39">
        <v>4.6408393866020985</v>
      </c>
      <c r="AJ38" s="39">
        <v>4.674457429048414</v>
      </c>
      <c r="AK38" s="39">
        <v>3.9949001274968121</v>
      </c>
      <c r="AL38" s="43">
        <v>123.66666666666667</v>
      </c>
      <c r="AM38" s="43">
        <v>117.25</v>
      </c>
      <c r="AN38" s="43">
        <v>119.66666666666667</v>
      </c>
      <c r="AO38" s="43">
        <v>105.58333333333333</v>
      </c>
      <c r="AP38" s="43">
        <v>116.16666666666667</v>
      </c>
      <c r="AQ38" s="190">
        <v>66939.253897550108</v>
      </c>
      <c r="AR38" s="190">
        <v>57511.321179383303</v>
      </c>
      <c r="AS38" s="190">
        <v>58270.220204313286</v>
      </c>
      <c r="AT38" s="190">
        <v>59467.345949688439</v>
      </c>
      <c r="AU38" s="190">
        <v>50772.82</v>
      </c>
      <c r="AV38" s="162">
        <v>46513.950000000004</v>
      </c>
      <c r="AW38" s="162">
        <v>50396.32</v>
      </c>
      <c r="AX38" s="162">
        <v>52386.880000000005</v>
      </c>
      <c r="AY38" s="161">
        <v>57211.35</v>
      </c>
      <c r="AZ38" s="161">
        <v>52327</v>
      </c>
      <c r="BA38" s="49">
        <v>10.1</v>
      </c>
      <c r="BB38" s="49">
        <v>9.9</v>
      </c>
      <c r="BC38" s="49">
        <v>10.199999999999999</v>
      </c>
      <c r="BD38" s="49">
        <v>11</v>
      </c>
      <c r="BE38" s="49">
        <v>9.4</v>
      </c>
      <c r="BF38" s="42">
        <v>13.2</v>
      </c>
      <c r="BG38" s="42">
        <v>13.6</v>
      </c>
      <c r="BH38" s="42">
        <v>14.1</v>
      </c>
      <c r="BI38" s="42">
        <v>14.8</v>
      </c>
      <c r="BJ38" s="42">
        <v>11.9</v>
      </c>
      <c r="BK38" s="36">
        <v>662</v>
      </c>
      <c r="BL38" s="36">
        <v>615</v>
      </c>
      <c r="BM38" s="36">
        <v>576</v>
      </c>
      <c r="BN38" s="36">
        <v>620</v>
      </c>
      <c r="BO38" s="40">
        <v>36.555891238670696</v>
      </c>
      <c r="BP38" s="40">
        <v>35.772357723577237</v>
      </c>
      <c r="BQ38" s="40">
        <v>37.847222222222221</v>
      </c>
      <c r="BR38" s="40">
        <v>39.516129032258064</v>
      </c>
      <c r="BS38" s="51">
        <v>0</v>
      </c>
      <c r="BT38" s="51" t="s">
        <v>481</v>
      </c>
      <c r="BU38" s="51" t="s">
        <v>481</v>
      </c>
      <c r="BV38" s="51">
        <v>0.16129032258064516</v>
      </c>
      <c r="BW38" s="39">
        <v>15.256797583081571</v>
      </c>
      <c r="BX38" s="39">
        <v>15.772357723577235</v>
      </c>
      <c r="BY38" s="39">
        <v>14.583333333333334</v>
      </c>
      <c r="BZ38" s="39">
        <v>18.70967741935484</v>
      </c>
      <c r="CA38" s="40">
        <v>96.825396825396822</v>
      </c>
      <c r="CB38" s="40">
        <v>93.650793650793645</v>
      </c>
      <c r="CC38" s="40">
        <v>90.38</v>
      </c>
      <c r="CD38" s="40">
        <v>96.61</v>
      </c>
      <c r="CE38" s="40">
        <v>0</v>
      </c>
      <c r="CF38" s="40">
        <v>0</v>
      </c>
      <c r="CG38" s="40">
        <v>3.85</v>
      </c>
      <c r="CH38" s="40">
        <v>0</v>
      </c>
      <c r="CI38" s="105">
        <v>257</v>
      </c>
      <c r="CJ38" s="105">
        <v>208</v>
      </c>
      <c r="CK38" s="104">
        <v>220</v>
      </c>
      <c r="CL38" s="104">
        <v>246</v>
      </c>
      <c r="CM38" s="39">
        <v>9.8819548583073775</v>
      </c>
      <c r="CN38" s="39">
        <v>11.05912377711612</v>
      </c>
      <c r="CO38" s="39">
        <v>9.8231827111984273</v>
      </c>
      <c r="CP38" s="39">
        <v>11.209842788790157</v>
      </c>
      <c r="CQ38" s="104">
        <v>11</v>
      </c>
      <c r="CR38" s="104">
        <v>12</v>
      </c>
      <c r="CS38" s="104">
        <v>7</v>
      </c>
      <c r="CT38" s="104">
        <v>4</v>
      </c>
      <c r="CU38" s="39">
        <v>4.5</v>
      </c>
      <c r="CV38" s="39">
        <v>5.9</v>
      </c>
      <c r="CW38" s="39">
        <v>3.3</v>
      </c>
      <c r="CX38" s="39">
        <v>1.8</v>
      </c>
      <c r="CY38" s="36">
        <v>14</v>
      </c>
      <c r="CZ38" s="104">
        <v>12</v>
      </c>
      <c r="DA38" s="104">
        <v>14</v>
      </c>
      <c r="DB38" s="104">
        <v>12</v>
      </c>
      <c r="DC38" s="39">
        <v>6.1</v>
      </c>
      <c r="DD38" s="39">
        <v>6.3</v>
      </c>
      <c r="DE38" s="39">
        <v>6.9</v>
      </c>
      <c r="DF38" s="39">
        <v>5.3</v>
      </c>
      <c r="DG38" s="39">
        <v>81.900000000000006</v>
      </c>
      <c r="DH38" s="39">
        <v>81.900000000000006</v>
      </c>
      <c r="DI38" s="39">
        <v>84.1</v>
      </c>
      <c r="DJ38" s="39">
        <v>87.3</v>
      </c>
      <c r="DK38" s="39">
        <v>12.6</v>
      </c>
      <c r="DL38" s="39">
        <v>6.3</v>
      </c>
      <c r="DM38" s="39">
        <v>14.4</v>
      </c>
      <c r="DN38" s="39">
        <v>11.8</v>
      </c>
      <c r="DO38" s="39">
        <v>21</v>
      </c>
      <c r="DP38" s="39">
        <v>14.9</v>
      </c>
      <c r="DQ38" s="39">
        <v>20.5</v>
      </c>
      <c r="DR38" s="39">
        <v>20.3</v>
      </c>
      <c r="DS38" s="39">
        <v>14.5</v>
      </c>
      <c r="DT38" s="39">
        <v>3.5</v>
      </c>
      <c r="DU38" s="39">
        <v>21.3</v>
      </c>
      <c r="DV38" s="39">
        <v>8.1999999999999993</v>
      </c>
      <c r="DW38" s="45">
        <v>62</v>
      </c>
      <c r="DX38" s="45">
        <v>1</v>
      </c>
      <c r="DY38" s="15">
        <v>0</v>
      </c>
      <c r="DZ38" s="45">
        <v>0</v>
      </c>
      <c r="EA38" s="45">
        <v>1</v>
      </c>
      <c r="EB38" s="45">
        <v>2</v>
      </c>
      <c r="EC38" s="45"/>
      <c r="ED38" s="45"/>
      <c r="EE38" s="45">
        <v>2</v>
      </c>
      <c r="EF38" s="104">
        <v>366</v>
      </c>
      <c r="EG38" s="104">
        <v>360</v>
      </c>
      <c r="EH38" s="104">
        <v>337</v>
      </c>
      <c r="EI38" s="104">
        <v>354</v>
      </c>
      <c r="EJ38" s="174">
        <v>77</v>
      </c>
      <c r="EK38" s="174"/>
      <c r="EL38" s="174"/>
      <c r="EM38" s="174"/>
      <c r="EN38" s="174"/>
      <c r="EO38" s="39">
        <v>1385.0519999999999</v>
      </c>
      <c r="EP38" s="39">
        <v>1502.5039999999999</v>
      </c>
      <c r="EQ38" s="39">
        <v>1480.6679999999999</v>
      </c>
      <c r="ER38" s="39">
        <v>1600.3620000000001</v>
      </c>
      <c r="ES38" s="39">
        <v>803.20100000000002</v>
      </c>
      <c r="ET38" s="39">
        <v>753.87800000000004</v>
      </c>
      <c r="EU38" s="39">
        <v>729.16399999999999</v>
      </c>
      <c r="EV38" s="39">
        <v>831.245</v>
      </c>
      <c r="EW38" s="39">
        <v>933.59699999999998</v>
      </c>
      <c r="EX38" s="39">
        <v>1055.7249999999999</v>
      </c>
      <c r="EY38" s="39">
        <v>938.19100000000003</v>
      </c>
      <c r="EZ38" s="39">
        <v>1076.4079999999999</v>
      </c>
      <c r="FA38" s="39">
        <v>680.24300000000005</v>
      </c>
      <c r="FB38" s="39">
        <v>543.524</v>
      </c>
      <c r="FC38" s="39">
        <v>566.47900000000004</v>
      </c>
      <c r="FD38" s="39">
        <v>661.56799999999998</v>
      </c>
      <c r="FE38" s="44">
        <v>70</v>
      </c>
      <c r="FF38" s="44">
        <v>58</v>
      </c>
      <c r="FG38" s="44">
        <v>70</v>
      </c>
      <c r="FH38" s="44">
        <v>58</v>
      </c>
      <c r="FI38" s="39">
        <v>172.39</v>
      </c>
      <c r="FJ38" s="39">
        <v>131.63</v>
      </c>
      <c r="FK38" s="39">
        <v>175.30199999999999</v>
      </c>
      <c r="FL38" s="39">
        <v>141.97399999999999</v>
      </c>
      <c r="FM38" s="45">
        <v>124</v>
      </c>
      <c r="FN38" s="45">
        <v>122</v>
      </c>
      <c r="FO38" s="36">
        <v>64</v>
      </c>
      <c r="FP38" s="45">
        <v>72</v>
      </c>
      <c r="FQ38" s="39">
        <v>255.94900000000001</v>
      </c>
      <c r="FR38" s="39">
        <v>246.65</v>
      </c>
      <c r="FS38" s="39">
        <v>133.31700000000001</v>
      </c>
      <c r="FT38" s="39">
        <v>154.74100000000001</v>
      </c>
      <c r="FU38" s="43">
        <v>30</v>
      </c>
      <c r="FV38" s="43">
        <v>36</v>
      </c>
      <c r="FW38" s="43">
        <v>20</v>
      </c>
      <c r="FX38" s="45">
        <v>24</v>
      </c>
      <c r="FY38" s="39">
        <v>51.396999999999998</v>
      </c>
      <c r="FZ38" s="39">
        <v>63.186999999999998</v>
      </c>
      <c r="GA38" s="39">
        <v>36.158000000000001</v>
      </c>
      <c r="GB38" s="39">
        <v>52.761000000000003</v>
      </c>
      <c r="GC38" s="150">
        <v>10</v>
      </c>
      <c r="GD38" s="150">
        <v>18</v>
      </c>
      <c r="GE38" s="150">
        <v>11</v>
      </c>
      <c r="GF38" s="150">
        <v>11</v>
      </c>
      <c r="GG38" s="182">
        <v>35.981999999999999</v>
      </c>
      <c r="GH38" s="182">
        <v>58.402000000000001</v>
      </c>
      <c r="GI38" s="182">
        <v>32.591000000000001</v>
      </c>
      <c r="GJ38" s="182">
        <v>54.177999999999997</v>
      </c>
      <c r="GK38" s="182"/>
      <c r="GL38" s="114"/>
      <c r="GM38" s="114"/>
      <c r="GN38" s="114"/>
      <c r="GP38" s="114"/>
      <c r="GQ38" s="114"/>
      <c r="GR38" s="114"/>
      <c r="GS38" s="114"/>
      <c r="GU38" s="114"/>
      <c r="GV38" s="114"/>
      <c r="GW38" s="114"/>
      <c r="GX38" s="114"/>
      <c r="HE38" s="113"/>
      <c r="HF38" s="113"/>
      <c r="HG38" s="113"/>
      <c r="HH38" s="113"/>
      <c r="HI38" s="113"/>
      <c r="HJ38" s="115"/>
      <c r="HK38" s="115"/>
      <c r="HL38" s="114"/>
      <c r="HV38" s="116"/>
    </row>
    <row r="39" spans="1:230" x14ac:dyDescent="0.2">
      <c r="A39" s="128">
        <v>36</v>
      </c>
      <c r="B39" s="129" t="s">
        <v>82</v>
      </c>
      <c r="C39" s="117">
        <v>13206</v>
      </c>
      <c r="D39" s="117">
        <v>12856</v>
      </c>
      <c r="E39" s="117">
        <v>12841</v>
      </c>
      <c r="F39" s="117">
        <v>12628</v>
      </c>
      <c r="G39" s="151">
        <v>12528</v>
      </c>
      <c r="H39" s="155">
        <v>11823</v>
      </c>
      <c r="I39" s="155">
        <v>120</v>
      </c>
      <c r="J39" s="155">
        <v>353</v>
      </c>
      <c r="K39" s="155">
        <v>60</v>
      </c>
      <c r="L39" s="155">
        <v>172</v>
      </c>
      <c r="M39" s="40">
        <v>5865</v>
      </c>
      <c r="N39" s="40">
        <v>5852</v>
      </c>
      <c r="O39" s="40">
        <v>5832</v>
      </c>
      <c r="P39" s="106">
        <v>5826</v>
      </c>
      <c r="Q39" s="106">
        <v>5820</v>
      </c>
      <c r="R39" s="51">
        <v>33.200000000000003</v>
      </c>
      <c r="S39" s="51">
        <v>34.5</v>
      </c>
      <c r="T39" s="51">
        <v>35.988495685882206</v>
      </c>
      <c r="U39" s="51">
        <v>37.746226656433876</v>
      </c>
      <c r="V39" s="51">
        <v>39.437353477468093</v>
      </c>
      <c r="W39" s="38">
        <v>25.9</v>
      </c>
      <c r="X39" s="38">
        <v>24.1</v>
      </c>
      <c r="Y39" s="38">
        <v>24.584219082155808</v>
      </c>
      <c r="Z39" s="38">
        <v>23.778459964185213</v>
      </c>
      <c r="AA39" s="38">
        <v>23.73013805678562</v>
      </c>
      <c r="AB39" s="51">
        <v>59.1</v>
      </c>
      <c r="AC39" s="51">
        <v>58.6</v>
      </c>
      <c r="AD39" s="51">
        <v>60.572714768038018</v>
      </c>
      <c r="AE39" s="51">
        <v>61.524686620619086</v>
      </c>
      <c r="AF39" s="51">
        <v>63.167491534253713</v>
      </c>
      <c r="AG39" s="39">
        <v>8.6999999999999993</v>
      </c>
      <c r="AH39" s="39">
        <v>8.4412544858792327</v>
      </c>
      <c r="AI39" s="39">
        <v>8.0901015228426392</v>
      </c>
      <c r="AJ39" s="39">
        <v>8.5241110569897707</v>
      </c>
      <c r="AK39" s="39">
        <v>7.3558648111332001</v>
      </c>
      <c r="AL39" s="43">
        <v>774.66666666666663</v>
      </c>
      <c r="AM39" s="43">
        <v>714.91666666666663</v>
      </c>
      <c r="AN39" s="43">
        <v>690.25</v>
      </c>
      <c r="AO39" s="43">
        <v>707.33333333333337</v>
      </c>
      <c r="AP39" s="43">
        <v>700.75</v>
      </c>
      <c r="AQ39" s="190">
        <v>37435.408886517798</v>
      </c>
      <c r="AR39" s="190">
        <v>37105.229813664591</v>
      </c>
      <c r="AS39" s="190">
        <v>37892.836542209057</v>
      </c>
      <c r="AT39" s="190">
        <v>38325.24944567628</v>
      </c>
      <c r="AU39" s="190">
        <v>40559.340000000004</v>
      </c>
      <c r="AV39" s="162">
        <v>45950.1</v>
      </c>
      <c r="AW39" s="162">
        <v>46609.68</v>
      </c>
      <c r="AX39" s="162">
        <v>45877.520000000004</v>
      </c>
      <c r="AY39" s="161">
        <v>48211.21</v>
      </c>
      <c r="AZ39" s="161">
        <v>48942</v>
      </c>
      <c r="BA39" s="49">
        <v>16.899999999999999</v>
      </c>
      <c r="BB39" s="49">
        <v>15.3</v>
      </c>
      <c r="BC39" s="49">
        <v>14.3</v>
      </c>
      <c r="BD39" s="49">
        <v>14.3</v>
      </c>
      <c r="BE39" s="49">
        <v>12.7</v>
      </c>
      <c r="BF39" s="42">
        <v>22.9</v>
      </c>
      <c r="BG39" s="42">
        <v>22.5</v>
      </c>
      <c r="BH39" s="42">
        <v>22</v>
      </c>
      <c r="BI39" s="42">
        <v>22.6</v>
      </c>
      <c r="BJ39" s="42">
        <v>20.399999999999999</v>
      </c>
      <c r="BK39" s="36">
        <v>1814</v>
      </c>
      <c r="BL39" s="36">
        <v>1721</v>
      </c>
      <c r="BM39" s="36">
        <v>1697</v>
      </c>
      <c r="BN39" s="36">
        <v>1719</v>
      </c>
      <c r="BO39" s="40">
        <v>43.715545755237045</v>
      </c>
      <c r="BP39" s="40">
        <v>40.267286461359674</v>
      </c>
      <c r="BQ39" s="40">
        <v>39.658220388921627</v>
      </c>
      <c r="BR39" s="40">
        <v>40.25596276905177</v>
      </c>
      <c r="BS39" s="51">
        <v>0.33076074972436603</v>
      </c>
      <c r="BT39" s="51">
        <v>0.29052876234747238</v>
      </c>
      <c r="BU39" s="51">
        <v>0.58927519151443719</v>
      </c>
      <c r="BV39" s="51">
        <v>0.75625363583478766</v>
      </c>
      <c r="BW39" s="39">
        <v>15.821389195148843</v>
      </c>
      <c r="BX39" s="39">
        <v>15.281812899477048</v>
      </c>
      <c r="BY39" s="39">
        <v>14.849734826163818</v>
      </c>
      <c r="BZ39" s="39">
        <v>17.044793484584062</v>
      </c>
      <c r="CA39" s="40">
        <v>85.211267605633793</v>
      </c>
      <c r="CB39" s="40">
        <v>80.740740740740748</v>
      </c>
      <c r="CC39" s="40">
        <v>88.08</v>
      </c>
      <c r="CD39" s="40">
        <v>89.86</v>
      </c>
      <c r="CE39" s="40">
        <v>2.8169014084507045</v>
      </c>
      <c r="CF39" s="40">
        <v>5.9701492537313436</v>
      </c>
      <c r="CG39" s="40">
        <v>4.6399999999999997</v>
      </c>
      <c r="CH39" s="40">
        <v>4.05</v>
      </c>
      <c r="CI39" s="105">
        <v>735</v>
      </c>
      <c r="CJ39" s="105">
        <v>612</v>
      </c>
      <c r="CK39" s="104">
        <v>572</v>
      </c>
      <c r="CL39" s="104">
        <v>527</v>
      </c>
      <c r="CM39" s="39">
        <v>10.084932972928472</v>
      </c>
      <c r="CN39" s="39">
        <v>11.150181281542078</v>
      </c>
      <c r="CO39" s="39">
        <v>8.6521153817065244</v>
      </c>
      <c r="CP39" s="39">
        <v>8.2267909271140667</v>
      </c>
      <c r="CQ39" s="104">
        <v>43</v>
      </c>
      <c r="CR39" s="104">
        <v>21</v>
      </c>
      <c r="CS39" s="104">
        <v>21</v>
      </c>
      <c r="CT39" s="104">
        <v>28</v>
      </c>
      <c r="CU39" s="39">
        <v>6</v>
      </c>
      <c r="CV39" s="39">
        <v>3.5</v>
      </c>
      <c r="CW39" s="39">
        <v>3.8</v>
      </c>
      <c r="CX39" s="39">
        <v>5.5</v>
      </c>
      <c r="CY39" s="36">
        <v>40</v>
      </c>
      <c r="CZ39" s="104">
        <v>50</v>
      </c>
      <c r="DA39" s="104">
        <v>27</v>
      </c>
      <c r="DB39" s="104">
        <v>31</v>
      </c>
      <c r="DC39" s="39">
        <v>6.3</v>
      </c>
      <c r="DD39" s="39">
        <v>9.1999999999999993</v>
      </c>
      <c r="DE39" s="39">
        <v>5.8</v>
      </c>
      <c r="DF39" s="39">
        <v>6.1</v>
      </c>
      <c r="DG39" s="39">
        <v>85.2</v>
      </c>
      <c r="DH39" s="39">
        <v>77</v>
      </c>
      <c r="DI39" s="39">
        <v>81.2</v>
      </c>
      <c r="DJ39" s="39">
        <v>82.3</v>
      </c>
      <c r="DK39" s="39">
        <v>13.2</v>
      </c>
      <c r="DL39" s="39">
        <v>20.6</v>
      </c>
      <c r="DM39" s="39">
        <v>20.5</v>
      </c>
      <c r="DN39" s="39">
        <v>15.3</v>
      </c>
      <c r="DO39" s="39">
        <v>33.700000000000003</v>
      </c>
      <c r="DP39" s="39">
        <v>39.4</v>
      </c>
      <c r="DQ39" s="39">
        <v>44.5</v>
      </c>
      <c r="DR39" s="39">
        <v>47.2</v>
      </c>
      <c r="DS39" s="39">
        <v>34.200000000000003</v>
      </c>
      <c r="DT39" s="39">
        <v>24.7</v>
      </c>
      <c r="DU39" s="39">
        <v>27.4</v>
      </c>
      <c r="DV39" s="39">
        <v>16.8</v>
      </c>
      <c r="DW39" s="45">
        <v>98</v>
      </c>
      <c r="DX39" s="45">
        <v>0</v>
      </c>
      <c r="DY39" s="15">
        <v>3</v>
      </c>
      <c r="DZ39" s="45">
        <v>1</v>
      </c>
      <c r="EA39" s="45">
        <v>1</v>
      </c>
      <c r="EB39" s="45">
        <v>10</v>
      </c>
      <c r="EC39" s="45">
        <v>3</v>
      </c>
      <c r="ED39" s="45">
        <v>1</v>
      </c>
      <c r="EE39" s="45">
        <v>2</v>
      </c>
      <c r="EF39" s="104">
        <v>820</v>
      </c>
      <c r="EG39" s="104">
        <v>779</v>
      </c>
      <c r="EH39" s="104">
        <v>777</v>
      </c>
      <c r="EI39" s="104">
        <v>737</v>
      </c>
      <c r="EJ39" s="174">
        <v>120</v>
      </c>
      <c r="EK39" s="174">
        <v>1</v>
      </c>
      <c r="EL39" s="174">
        <v>1</v>
      </c>
      <c r="EM39" s="174"/>
      <c r="EN39" s="174"/>
      <c r="EO39" s="39">
        <v>1142.4590000000001</v>
      </c>
      <c r="EP39" s="39">
        <v>1120.299</v>
      </c>
      <c r="EQ39" s="39">
        <v>1167.4549999999999</v>
      </c>
      <c r="ER39" s="39">
        <v>1147.886</v>
      </c>
      <c r="ES39" s="39">
        <v>839.72500000000002</v>
      </c>
      <c r="ET39" s="39">
        <v>727.55700000000002</v>
      </c>
      <c r="EU39" s="39">
        <v>755.84400000000005</v>
      </c>
      <c r="EV39" s="39">
        <v>695.08699999999999</v>
      </c>
      <c r="EW39" s="39">
        <v>1046.386</v>
      </c>
      <c r="EX39" s="39">
        <v>892.43899999999996</v>
      </c>
      <c r="EY39" s="39">
        <v>916.16300000000001</v>
      </c>
      <c r="EZ39" s="39">
        <v>740.30600000000004</v>
      </c>
      <c r="FA39" s="39">
        <v>694.36800000000005</v>
      </c>
      <c r="FB39" s="39">
        <v>592.44500000000005</v>
      </c>
      <c r="FC39" s="39">
        <v>628.375</v>
      </c>
      <c r="FD39" s="39">
        <v>652.75900000000001</v>
      </c>
      <c r="FE39" s="44">
        <v>191</v>
      </c>
      <c r="FF39" s="44">
        <v>221</v>
      </c>
      <c r="FG39" s="44">
        <v>191</v>
      </c>
      <c r="FH39" s="44">
        <v>199</v>
      </c>
      <c r="FI39" s="39">
        <v>197.202</v>
      </c>
      <c r="FJ39" s="39">
        <v>211.45599999999999</v>
      </c>
      <c r="FK39" s="39">
        <v>181.375</v>
      </c>
      <c r="FL39" s="39">
        <v>182.077</v>
      </c>
      <c r="FM39" s="45">
        <v>243</v>
      </c>
      <c r="FN39" s="45">
        <v>194</v>
      </c>
      <c r="FO39" s="36">
        <v>151</v>
      </c>
      <c r="FP39" s="45">
        <v>148</v>
      </c>
      <c r="FQ39" s="39">
        <v>241.60599999999999</v>
      </c>
      <c r="FR39" s="39">
        <v>175.25700000000001</v>
      </c>
      <c r="FS39" s="39">
        <v>140.19200000000001</v>
      </c>
      <c r="FT39" s="39">
        <v>130.84</v>
      </c>
      <c r="FU39" s="43">
        <v>74</v>
      </c>
      <c r="FV39" s="43">
        <v>53</v>
      </c>
      <c r="FW39" s="43">
        <v>50</v>
      </c>
      <c r="FX39" s="45">
        <v>35</v>
      </c>
      <c r="FY39" s="39">
        <v>73.201999999999998</v>
      </c>
      <c r="FZ39" s="39">
        <v>43.93</v>
      </c>
      <c r="GA39" s="39">
        <v>46.831000000000003</v>
      </c>
      <c r="GB39" s="39">
        <v>31.76</v>
      </c>
      <c r="GC39" s="150">
        <v>32</v>
      </c>
      <c r="GD39" s="150">
        <v>36</v>
      </c>
      <c r="GE39" s="150">
        <v>44</v>
      </c>
      <c r="GF39" s="150">
        <v>44</v>
      </c>
      <c r="GG39" s="182">
        <v>39.878</v>
      </c>
      <c r="GH39" s="182">
        <v>42.445</v>
      </c>
      <c r="GI39" s="182">
        <v>54.872</v>
      </c>
      <c r="GJ39" s="182">
        <v>53.713000000000001</v>
      </c>
      <c r="GK39" s="182"/>
      <c r="GL39" s="114"/>
      <c r="GM39" s="114"/>
      <c r="GN39" s="114"/>
      <c r="GP39" s="114"/>
      <c r="GQ39" s="114"/>
      <c r="GR39" s="114"/>
      <c r="GS39" s="114"/>
      <c r="GU39" s="114"/>
      <c r="GV39" s="114"/>
      <c r="GW39" s="114"/>
      <c r="GX39" s="114"/>
      <c r="HE39" s="113"/>
      <c r="HF39" s="113"/>
      <c r="HG39" s="113"/>
      <c r="HH39" s="113"/>
      <c r="HI39" s="113"/>
      <c r="HJ39" s="115"/>
      <c r="HK39" s="115"/>
      <c r="HL39" s="114"/>
      <c r="HV39" s="116"/>
    </row>
    <row r="40" spans="1:230" ht="21" customHeight="1" x14ac:dyDescent="0.2">
      <c r="A40" s="128">
        <v>37</v>
      </c>
      <c r="B40" s="129" t="s">
        <v>83</v>
      </c>
      <c r="C40" s="117">
        <v>7027</v>
      </c>
      <c r="D40" s="117">
        <v>6891</v>
      </c>
      <c r="E40" s="117">
        <v>6856</v>
      </c>
      <c r="F40" s="117">
        <v>6715</v>
      </c>
      <c r="G40" s="151">
        <v>6685</v>
      </c>
      <c r="H40" s="155">
        <v>6397</v>
      </c>
      <c r="I40" s="155">
        <v>65</v>
      </c>
      <c r="J40" s="155">
        <v>15</v>
      </c>
      <c r="K40" s="155">
        <v>59</v>
      </c>
      <c r="L40" s="155">
        <v>149</v>
      </c>
      <c r="M40" s="40">
        <v>3096</v>
      </c>
      <c r="N40" s="40">
        <v>3065</v>
      </c>
      <c r="O40" s="40">
        <v>3048</v>
      </c>
      <c r="P40" s="106">
        <v>3021</v>
      </c>
      <c r="Q40" s="106">
        <v>3016</v>
      </c>
      <c r="R40" s="51">
        <v>42.1</v>
      </c>
      <c r="S40" s="51">
        <v>42.5</v>
      </c>
      <c r="T40" s="51">
        <v>42.928411075081065</v>
      </c>
      <c r="U40" s="51">
        <v>44.930519814719503</v>
      </c>
      <c r="V40" s="51">
        <v>47.171796895553804</v>
      </c>
      <c r="W40" s="38">
        <v>29</v>
      </c>
      <c r="X40" s="38">
        <v>28.4</v>
      </c>
      <c r="Y40" s="38">
        <v>28.086804689448741</v>
      </c>
      <c r="Z40" s="38">
        <v>27.869274318064846</v>
      </c>
      <c r="AA40" s="38">
        <v>28.70297290186793</v>
      </c>
      <c r="AB40" s="51">
        <v>71</v>
      </c>
      <c r="AC40" s="51">
        <v>71</v>
      </c>
      <c r="AD40" s="51">
        <v>71.015215764529799</v>
      </c>
      <c r="AE40" s="51">
        <v>72.799794132784356</v>
      </c>
      <c r="AF40" s="51">
        <v>75.87476979742172</v>
      </c>
      <c r="AG40" s="39">
        <v>5</v>
      </c>
      <c r="AH40" s="39">
        <v>4.7278724573941728</v>
      </c>
      <c r="AI40" s="39">
        <v>4.1150092323925085</v>
      </c>
      <c r="AJ40" s="39">
        <v>4.3274531422271227</v>
      </c>
      <c r="AK40" s="39">
        <v>3.5525950596724956</v>
      </c>
      <c r="AL40" s="43">
        <v>223.91666666666666</v>
      </c>
      <c r="AM40" s="43">
        <v>206.25</v>
      </c>
      <c r="AN40" s="43">
        <v>188.83333333333334</v>
      </c>
      <c r="AO40" s="43">
        <v>198.41666666666666</v>
      </c>
      <c r="AP40" s="43">
        <v>219.08333333333334</v>
      </c>
      <c r="AQ40" s="190">
        <v>63084.101941747576</v>
      </c>
      <c r="AR40" s="190">
        <v>52695.548134165823</v>
      </c>
      <c r="AS40" s="190">
        <v>54907.659077641561</v>
      </c>
      <c r="AT40" s="190">
        <v>56059.14966492926</v>
      </c>
      <c r="AU40" s="190">
        <v>47695.18</v>
      </c>
      <c r="AV40" s="162">
        <v>53511.15</v>
      </c>
      <c r="AW40" s="162">
        <v>48677.200000000004</v>
      </c>
      <c r="AX40" s="162">
        <v>50174.8</v>
      </c>
      <c r="AY40" s="161">
        <v>52286.92</v>
      </c>
      <c r="AZ40" s="161">
        <v>53046</v>
      </c>
      <c r="BA40" s="49">
        <v>10.5</v>
      </c>
      <c r="BB40" s="49">
        <v>10.4</v>
      </c>
      <c r="BC40" s="49">
        <v>8.4</v>
      </c>
      <c r="BD40" s="49">
        <v>9.6999999999999993</v>
      </c>
      <c r="BE40" s="49">
        <v>9.8000000000000007</v>
      </c>
      <c r="BF40" s="42">
        <v>14.3</v>
      </c>
      <c r="BG40" s="42">
        <v>14.3</v>
      </c>
      <c r="BH40" s="42">
        <v>13.5</v>
      </c>
      <c r="BI40" s="42">
        <v>13.8</v>
      </c>
      <c r="BJ40" s="42">
        <v>13</v>
      </c>
      <c r="BK40" s="36">
        <v>1308</v>
      </c>
      <c r="BL40" s="36">
        <v>1308</v>
      </c>
      <c r="BM40" s="36">
        <v>1264</v>
      </c>
      <c r="BN40" s="36">
        <v>1178</v>
      </c>
      <c r="BO40" s="40">
        <v>43.348623853211009</v>
      </c>
      <c r="BP40" s="40">
        <v>41.055045871559635</v>
      </c>
      <c r="BQ40" s="40">
        <v>41.37658227848101</v>
      </c>
      <c r="BR40" s="40">
        <v>39.898132427843805</v>
      </c>
      <c r="BS40" s="51">
        <v>3.2110091743119265</v>
      </c>
      <c r="BT40" s="51">
        <v>3.7461773700305812</v>
      </c>
      <c r="BU40" s="51">
        <v>3.8765822784810124</v>
      </c>
      <c r="BV40" s="51">
        <v>2.8862478777589131</v>
      </c>
      <c r="BW40" s="39">
        <v>17.201834862385322</v>
      </c>
      <c r="BX40" s="39">
        <v>17.507645259938837</v>
      </c>
      <c r="BY40" s="39">
        <v>16.851265822784811</v>
      </c>
      <c r="BZ40" s="39">
        <v>18.930390492359933</v>
      </c>
      <c r="CA40" s="40">
        <v>95.959595959595958</v>
      </c>
      <c r="CB40" s="40">
        <v>90</v>
      </c>
      <c r="CC40" s="40">
        <v>95.89</v>
      </c>
      <c r="CD40" s="40">
        <v>95.4</v>
      </c>
      <c r="CE40" s="40">
        <v>1.0101010101010102</v>
      </c>
      <c r="CF40" s="40">
        <v>2.197802197802198</v>
      </c>
      <c r="CG40" s="40">
        <v>0</v>
      </c>
      <c r="CH40" s="40">
        <v>0</v>
      </c>
      <c r="CI40" s="105">
        <v>349</v>
      </c>
      <c r="CJ40" s="105">
        <v>347</v>
      </c>
      <c r="CK40" s="104">
        <v>344</v>
      </c>
      <c r="CL40" s="104">
        <v>308</v>
      </c>
      <c r="CM40" s="39">
        <v>8.7714888911229529</v>
      </c>
      <c r="CN40" s="39">
        <v>11.535137291403498</v>
      </c>
      <c r="CO40" s="39">
        <v>9.5992856345574289</v>
      </c>
      <c r="CP40" s="39">
        <v>9.0126997132322817</v>
      </c>
      <c r="CQ40" s="104">
        <v>7</v>
      </c>
      <c r="CR40" s="104">
        <v>16</v>
      </c>
      <c r="CS40" s="104">
        <v>10</v>
      </c>
      <c r="CT40" s="104">
        <v>9</v>
      </c>
      <c r="CU40" s="39">
        <v>2</v>
      </c>
      <c r="CV40" s="39">
        <v>4.8</v>
      </c>
      <c r="CW40" s="39">
        <v>3</v>
      </c>
      <c r="CX40" s="39">
        <v>3</v>
      </c>
      <c r="CY40" s="36">
        <v>17</v>
      </c>
      <c r="CZ40" s="104">
        <v>25</v>
      </c>
      <c r="DA40" s="104">
        <v>17</v>
      </c>
      <c r="DB40" s="104">
        <v>22</v>
      </c>
      <c r="DC40" s="39">
        <v>5.0999999999999996</v>
      </c>
      <c r="DD40" s="39">
        <v>8.1999999999999993</v>
      </c>
      <c r="DE40" s="39">
        <v>5.6</v>
      </c>
      <c r="DF40" s="39">
        <v>7.5</v>
      </c>
      <c r="DG40" s="39">
        <v>88.9</v>
      </c>
      <c r="DH40" s="39">
        <v>86.9</v>
      </c>
      <c r="DI40" s="39">
        <v>89</v>
      </c>
      <c r="DJ40" s="39">
        <v>88.1</v>
      </c>
      <c r="DK40" s="39">
        <v>12.9</v>
      </c>
      <c r="DL40" s="39">
        <v>13.4</v>
      </c>
      <c r="DM40" s="39">
        <v>17.600000000000001</v>
      </c>
      <c r="DN40" s="39">
        <v>10.1</v>
      </c>
      <c r="DO40" s="39">
        <v>18.899999999999999</v>
      </c>
      <c r="DP40" s="39">
        <v>26.8</v>
      </c>
      <c r="DQ40" s="39">
        <v>31.4</v>
      </c>
      <c r="DR40" s="39">
        <v>25.3</v>
      </c>
      <c r="DS40" s="39">
        <v>18.8</v>
      </c>
      <c r="DT40" s="39">
        <v>18.100000000000001</v>
      </c>
      <c r="DU40" s="39">
        <v>12.5</v>
      </c>
      <c r="DV40" s="39">
        <v>9.5</v>
      </c>
      <c r="DW40" s="45">
        <v>56</v>
      </c>
      <c r="DX40" s="45">
        <v>0</v>
      </c>
      <c r="DY40" s="15">
        <v>0</v>
      </c>
      <c r="DZ40" s="45">
        <v>1</v>
      </c>
      <c r="EA40" s="45">
        <v>1</v>
      </c>
      <c r="EB40" s="45">
        <v>1</v>
      </c>
      <c r="EC40" s="45">
        <v>4</v>
      </c>
      <c r="ED40" s="45">
        <v>2</v>
      </c>
      <c r="EE40" s="45">
        <v>2</v>
      </c>
      <c r="EF40" s="104">
        <v>599</v>
      </c>
      <c r="EG40" s="104">
        <v>485</v>
      </c>
      <c r="EH40" s="104">
        <v>498</v>
      </c>
      <c r="EI40" s="104">
        <v>417</v>
      </c>
      <c r="EJ40" s="174">
        <v>84</v>
      </c>
      <c r="EK40" s="174"/>
      <c r="EL40" s="174"/>
      <c r="EM40" s="174"/>
      <c r="EN40" s="174"/>
      <c r="EO40" s="39">
        <v>1485.0630000000001</v>
      </c>
      <c r="EP40" s="39">
        <v>1275.644</v>
      </c>
      <c r="EQ40" s="39">
        <v>1372.09</v>
      </c>
      <c r="ER40" s="39">
        <v>1216.453</v>
      </c>
      <c r="ES40" s="39">
        <v>745.99199999999996</v>
      </c>
      <c r="ET40" s="39">
        <v>632.47400000000005</v>
      </c>
      <c r="EU40" s="39">
        <v>671.12300000000005</v>
      </c>
      <c r="EV40" s="39">
        <v>566.95699999999999</v>
      </c>
      <c r="EW40" s="39">
        <v>903.17200000000003</v>
      </c>
      <c r="EX40" s="39">
        <v>768.053</v>
      </c>
      <c r="EY40" s="39">
        <v>819.70899999999995</v>
      </c>
      <c r="EZ40" s="39">
        <v>644.69600000000003</v>
      </c>
      <c r="FA40" s="39">
        <v>614.70000000000005</v>
      </c>
      <c r="FB40" s="39">
        <v>507.12</v>
      </c>
      <c r="FC40" s="39">
        <v>549.02099999999996</v>
      </c>
      <c r="FD40" s="39">
        <v>497.59399999999999</v>
      </c>
      <c r="FE40" s="44">
        <v>135</v>
      </c>
      <c r="FF40" s="44">
        <v>115</v>
      </c>
      <c r="FG40" s="44">
        <v>98</v>
      </c>
      <c r="FH40" s="44">
        <v>94</v>
      </c>
      <c r="FI40" s="39">
        <v>193.863</v>
      </c>
      <c r="FJ40" s="39">
        <v>163.46100000000001</v>
      </c>
      <c r="FK40" s="39">
        <v>141.63399999999999</v>
      </c>
      <c r="FL40" s="39">
        <v>141.25</v>
      </c>
      <c r="FM40" s="45">
        <v>164</v>
      </c>
      <c r="FN40" s="45">
        <v>145</v>
      </c>
      <c r="FO40" s="36">
        <v>153</v>
      </c>
      <c r="FP40" s="45">
        <v>106</v>
      </c>
      <c r="FQ40" s="39">
        <v>187.16399999999999</v>
      </c>
      <c r="FR40" s="39">
        <v>166.94800000000001</v>
      </c>
      <c r="FS40" s="39">
        <v>189.875</v>
      </c>
      <c r="FT40" s="39">
        <v>134.19200000000001</v>
      </c>
      <c r="FU40" s="43">
        <v>33</v>
      </c>
      <c r="FV40" s="43">
        <v>17</v>
      </c>
      <c r="FW40" s="43">
        <v>21</v>
      </c>
      <c r="FX40" s="45">
        <v>21</v>
      </c>
      <c r="FY40" s="39">
        <v>36.725000000000001</v>
      </c>
      <c r="FZ40" s="39">
        <v>24.326000000000001</v>
      </c>
      <c r="GA40" s="39">
        <v>25.475999999999999</v>
      </c>
      <c r="GB40" s="39">
        <v>27.183</v>
      </c>
      <c r="GC40" s="150">
        <v>25</v>
      </c>
      <c r="GD40" s="150">
        <v>32</v>
      </c>
      <c r="GE40" s="150">
        <v>32</v>
      </c>
      <c r="GF40" s="150">
        <v>21</v>
      </c>
      <c r="GG40" s="182">
        <v>51.606999999999999</v>
      </c>
      <c r="GH40" s="182">
        <v>54.167000000000002</v>
      </c>
      <c r="GI40" s="182">
        <v>61.722999999999999</v>
      </c>
      <c r="GJ40" s="182">
        <v>41.094000000000001</v>
      </c>
      <c r="GK40" s="182"/>
      <c r="GL40" s="114"/>
      <c r="GM40" s="114"/>
      <c r="GN40" s="114"/>
      <c r="GP40" s="114"/>
      <c r="GQ40" s="114"/>
      <c r="GR40" s="114"/>
      <c r="GS40" s="114"/>
      <c r="GU40" s="114"/>
      <c r="GV40" s="114"/>
      <c r="GW40" s="114"/>
      <c r="GX40" s="114"/>
      <c r="HE40" s="113"/>
      <c r="HF40" s="113"/>
      <c r="HG40" s="113"/>
      <c r="HH40" s="113"/>
      <c r="HI40" s="113"/>
      <c r="HJ40" s="115"/>
      <c r="HK40" s="115"/>
      <c r="HL40" s="114"/>
      <c r="HV40" s="116"/>
    </row>
    <row r="41" spans="1:230" x14ac:dyDescent="0.2">
      <c r="A41" s="128">
        <v>38</v>
      </c>
      <c r="B41" s="129" t="s">
        <v>84</v>
      </c>
      <c r="C41" s="117">
        <v>10777</v>
      </c>
      <c r="D41" s="117">
        <v>10680</v>
      </c>
      <c r="E41" s="117">
        <v>10631</v>
      </c>
      <c r="F41" s="117">
        <v>10625</v>
      </c>
      <c r="G41" s="151">
        <v>10524</v>
      </c>
      <c r="H41" s="155">
        <v>10136</v>
      </c>
      <c r="I41" s="155">
        <v>78</v>
      </c>
      <c r="J41" s="155">
        <v>85</v>
      </c>
      <c r="K41" s="155">
        <v>60</v>
      </c>
      <c r="L41" s="155">
        <v>165</v>
      </c>
      <c r="M41" s="40">
        <v>4821</v>
      </c>
      <c r="N41" s="40">
        <v>4808</v>
      </c>
      <c r="O41" s="40">
        <v>4803</v>
      </c>
      <c r="P41" s="106">
        <v>4812</v>
      </c>
      <c r="Q41" s="106">
        <v>4814</v>
      </c>
      <c r="R41" s="51">
        <v>39.5</v>
      </c>
      <c r="S41" s="51">
        <v>40.9</v>
      </c>
      <c r="T41" s="51">
        <v>41.876971608832811</v>
      </c>
      <c r="U41" s="51">
        <v>44.129878438899553</v>
      </c>
      <c r="V41" s="51">
        <v>42.964743589743584</v>
      </c>
      <c r="W41" s="38">
        <v>25.5</v>
      </c>
      <c r="X41" s="38">
        <v>25.7</v>
      </c>
      <c r="Y41" s="38">
        <v>25.804416403785492</v>
      </c>
      <c r="Z41" s="38">
        <v>25.815738963531672</v>
      </c>
      <c r="AA41" s="38">
        <v>25.689102564102562</v>
      </c>
      <c r="AB41" s="51">
        <v>65</v>
      </c>
      <c r="AC41" s="51">
        <v>66.7</v>
      </c>
      <c r="AD41" s="51">
        <v>67.681388012618299</v>
      </c>
      <c r="AE41" s="51">
        <v>69.945617402431225</v>
      </c>
      <c r="AF41" s="51">
        <v>68.65384615384616</v>
      </c>
      <c r="AG41" s="39">
        <v>5.8</v>
      </c>
      <c r="AH41" s="39">
        <v>4.4949762030671598</v>
      </c>
      <c r="AI41" s="39">
        <v>4.8017072736973141</v>
      </c>
      <c r="AJ41" s="39">
        <v>6.4582170109808299</v>
      </c>
      <c r="AK41" s="39">
        <v>4.2808219178082192</v>
      </c>
      <c r="AL41" s="43">
        <v>379.08333333333331</v>
      </c>
      <c r="AM41" s="43">
        <v>342</v>
      </c>
      <c r="AN41" s="43">
        <v>301.83333333333331</v>
      </c>
      <c r="AO41" s="43">
        <v>292</v>
      </c>
      <c r="AP41" s="43">
        <v>279.66666666666669</v>
      </c>
      <c r="AQ41" s="190">
        <v>41218.597871355858</v>
      </c>
      <c r="AR41" s="190">
        <v>43373.162568944565</v>
      </c>
      <c r="AS41" s="190">
        <v>44133.508837908987</v>
      </c>
      <c r="AT41" s="190">
        <v>44463.040000000001</v>
      </c>
      <c r="AU41" s="190">
        <v>47118.380000000005</v>
      </c>
      <c r="AV41" s="162">
        <v>51837.450000000004</v>
      </c>
      <c r="AW41" s="162">
        <v>52910</v>
      </c>
      <c r="AX41" s="162">
        <v>54476.240000000005</v>
      </c>
      <c r="AY41" s="161">
        <v>54685.79</v>
      </c>
      <c r="AZ41" s="161">
        <v>55622</v>
      </c>
      <c r="BA41" s="49">
        <v>11.1</v>
      </c>
      <c r="BB41" s="49">
        <v>10.5</v>
      </c>
      <c r="BC41" s="49">
        <v>9.8000000000000007</v>
      </c>
      <c r="BD41" s="49">
        <v>9.1</v>
      </c>
      <c r="BE41" s="49">
        <v>8.4</v>
      </c>
      <c r="BF41" s="42">
        <v>16.600000000000001</v>
      </c>
      <c r="BG41" s="42">
        <v>15.3</v>
      </c>
      <c r="BH41" s="42">
        <v>14.6</v>
      </c>
      <c r="BI41" s="42">
        <v>13.1</v>
      </c>
      <c r="BJ41" s="42">
        <v>11.7</v>
      </c>
      <c r="BK41" s="36">
        <v>1405</v>
      </c>
      <c r="BL41" s="36">
        <v>1400</v>
      </c>
      <c r="BM41" s="36">
        <v>1365</v>
      </c>
      <c r="BN41" s="36">
        <v>1388</v>
      </c>
      <c r="BO41" s="40">
        <v>33.380782918149464</v>
      </c>
      <c r="BP41" s="40">
        <v>30.857142857142858</v>
      </c>
      <c r="BQ41" s="40">
        <v>26.153846153846153</v>
      </c>
      <c r="BR41" s="40">
        <v>25.936599423631122</v>
      </c>
      <c r="BS41" s="51">
        <v>0</v>
      </c>
      <c r="BT41" s="51">
        <v>7.1428571428571425E-2</v>
      </c>
      <c r="BU41" s="51">
        <v>7.3260073260073263E-2</v>
      </c>
      <c r="BV41" s="51">
        <v>7.2046109510086456E-2</v>
      </c>
      <c r="BW41" s="39">
        <v>16.085409252669038</v>
      </c>
      <c r="BX41" s="39">
        <v>16.642857142857142</v>
      </c>
      <c r="BY41" s="39">
        <v>16.043956043956044</v>
      </c>
      <c r="BZ41" s="39">
        <v>17.291066282420751</v>
      </c>
      <c r="CA41" s="40">
        <v>92.682926829268297</v>
      </c>
      <c r="CB41" s="40">
        <v>93.75</v>
      </c>
      <c r="CC41" s="40">
        <v>91.34</v>
      </c>
      <c r="CD41" s="40">
        <v>94.39</v>
      </c>
      <c r="CE41" s="40">
        <v>3.2520325203252036</v>
      </c>
      <c r="CF41" s="40">
        <v>2.5641025641025643</v>
      </c>
      <c r="CG41" s="40">
        <v>1.57</v>
      </c>
      <c r="CH41" s="40">
        <v>0</v>
      </c>
      <c r="CI41" s="105">
        <v>514</v>
      </c>
      <c r="CJ41" s="105">
        <v>501</v>
      </c>
      <c r="CK41" s="104">
        <v>577</v>
      </c>
      <c r="CL41" s="104">
        <v>512</v>
      </c>
      <c r="CM41" s="39">
        <v>9.4196125863617208</v>
      </c>
      <c r="CN41" s="39">
        <v>11.365440892901702</v>
      </c>
      <c r="CO41" s="39">
        <v>10.739479219014648</v>
      </c>
      <c r="CP41" s="39">
        <v>9.6173713770497962</v>
      </c>
      <c r="CQ41" s="104">
        <v>22</v>
      </c>
      <c r="CR41" s="104">
        <v>21</v>
      </c>
      <c r="CS41" s="104">
        <v>35</v>
      </c>
      <c r="CT41" s="104">
        <v>22</v>
      </c>
      <c r="CU41" s="39">
        <v>4.4000000000000004</v>
      </c>
      <c r="CV41" s="39">
        <v>4.4000000000000004</v>
      </c>
      <c r="CW41" s="39">
        <v>6.4</v>
      </c>
      <c r="CX41" s="39">
        <v>4.5</v>
      </c>
      <c r="CY41" s="36">
        <v>37</v>
      </c>
      <c r="CZ41" s="104">
        <v>44</v>
      </c>
      <c r="DA41" s="104">
        <v>50</v>
      </c>
      <c r="DB41" s="104">
        <v>43</v>
      </c>
      <c r="DC41" s="39">
        <v>7.8</v>
      </c>
      <c r="DD41" s="39">
        <v>9.6</v>
      </c>
      <c r="DE41" s="39">
        <v>9.4</v>
      </c>
      <c r="DF41" s="39">
        <v>8.8000000000000007</v>
      </c>
      <c r="DG41" s="39">
        <v>83.6</v>
      </c>
      <c r="DH41" s="39">
        <v>86.7</v>
      </c>
      <c r="DI41" s="39">
        <v>84.1</v>
      </c>
      <c r="DJ41" s="39">
        <v>84.9</v>
      </c>
      <c r="DK41" s="39">
        <v>20.399999999999999</v>
      </c>
      <c r="DL41" s="39">
        <v>19.8</v>
      </c>
      <c r="DM41" s="39">
        <v>12.7</v>
      </c>
      <c r="DN41" s="39">
        <v>22.3</v>
      </c>
      <c r="DO41" s="39">
        <v>26.1</v>
      </c>
      <c r="DP41" s="39">
        <v>29.9</v>
      </c>
      <c r="DQ41" s="39">
        <v>28.9</v>
      </c>
      <c r="DR41" s="39">
        <v>30.9</v>
      </c>
      <c r="DS41" s="39">
        <v>24.2</v>
      </c>
      <c r="DT41" s="39">
        <v>27.1</v>
      </c>
      <c r="DU41" s="39">
        <v>34.799999999999997</v>
      </c>
      <c r="DV41" s="39">
        <v>23.9</v>
      </c>
      <c r="DW41" s="45">
        <v>98</v>
      </c>
      <c r="DX41" s="45">
        <v>0</v>
      </c>
      <c r="DY41" s="15">
        <v>0</v>
      </c>
      <c r="DZ41" s="45">
        <v>0</v>
      </c>
      <c r="EA41" s="45">
        <v>1</v>
      </c>
      <c r="EB41" s="45">
        <v>5</v>
      </c>
      <c r="EC41" s="45">
        <v>5</v>
      </c>
      <c r="ED41" s="45">
        <v>3</v>
      </c>
      <c r="EE41" s="45">
        <v>3</v>
      </c>
      <c r="EF41" s="104">
        <v>647</v>
      </c>
      <c r="EG41" s="104">
        <v>737</v>
      </c>
      <c r="EH41" s="104">
        <v>663</v>
      </c>
      <c r="EI41" s="104">
        <v>713</v>
      </c>
      <c r="EJ41" s="174">
        <v>147</v>
      </c>
      <c r="EK41" s="174"/>
      <c r="EL41" s="174"/>
      <c r="EM41" s="174"/>
      <c r="EN41" s="174">
        <v>1</v>
      </c>
      <c r="EO41" s="39">
        <v>1170.194</v>
      </c>
      <c r="EP41" s="39">
        <v>1321.2619999999999</v>
      </c>
      <c r="EQ41" s="39">
        <v>1220.32</v>
      </c>
      <c r="ER41" s="39">
        <v>1341.36</v>
      </c>
      <c r="ES41" s="39">
        <v>810.11900000000003</v>
      </c>
      <c r="ET41" s="39">
        <v>831.45299999999997</v>
      </c>
      <c r="EU41" s="39">
        <v>708.72699999999998</v>
      </c>
      <c r="EV41" s="39">
        <v>709.74199999999996</v>
      </c>
      <c r="EW41" s="39">
        <v>1038.5239999999999</v>
      </c>
      <c r="EX41" s="39">
        <v>1091.0640000000001</v>
      </c>
      <c r="EY41" s="39">
        <v>881.822</v>
      </c>
      <c r="EZ41" s="39">
        <v>912.30499999999995</v>
      </c>
      <c r="FA41" s="39">
        <v>629.33399999999995</v>
      </c>
      <c r="FB41" s="39">
        <v>656.923</v>
      </c>
      <c r="FC41" s="39">
        <v>537.88199999999995</v>
      </c>
      <c r="FD41" s="39">
        <v>519.02499999999998</v>
      </c>
      <c r="FE41" s="44">
        <v>148</v>
      </c>
      <c r="FF41" s="44">
        <v>151</v>
      </c>
      <c r="FG41" s="44">
        <v>154</v>
      </c>
      <c r="FH41" s="44">
        <v>145</v>
      </c>
      <c r="FI41" s="39">
        <v>182.255</v>
      </c>
      <c r="FJ41" s="39">
        <v>171.53700000000001</v>
      </c>
      <c r="FK41" s="39">
        <v>162.547</v>
      </c>
      <c r="FL41" s="39">
        <v>152.626</v>
      </c>
      <c r="FM41" s="45">
        <v>149</v>
      </c>
      <c r="FN41" s="45">
        <v>155</v>
      </c>
      <c r="FO41" s="36">
        <v>120</v>
      </c>
      <c r="FP41" s="45">
        <v>120</v>
      </c>
      <c r="FQ41" s="39">
        <v>182.774</v>
      </c>
      <c r="FR41" s="39">
        <v>173.59200000000001</v>
      </c>
      <c r="FS41" s="39">
        <v>126.79900000000001</v>
      </c>
      <c r="FT41" s="39">
        <v>119.935</v>
      </c>
      <c r="FU41" s="43">
        <v>56</v>
      </c>
      <c r="FV41" s="43">
        <v>50</v>
      </c>
      <c r="FW41" s="43">
        <v>31</v>
      </c>
      <c r="FX41" s="45">
        <v>42</v>
      </c>
      <c r="FY41" s="39">
        <v>67.641999999999996</v>
      </c>
      <c r="FZ41" s="39">
        <v>52.703000000000003</v>
      </c>
      <c r="GA41" s="39">
        <v>29.58</v>
      </c>
      <c r="GB41" s="39">
        <v>41.261000000000003</v>
      </c>
      <c r="GC41" s="150">
        <v>20</v>
      </c>
      <c r="GD41" s="150">
        <v>29</v>
      </c>
      <c r="GE41" s="150">
        <v>28</v>
      </c>
      <c r="GF41" s="150">
        <v>24</v>
      </c>
      <c r="GG41" s="182">
        <v>32.107999999999997</v>
      </c>
      <c r="GH41" s="182">
        <v>46.402000000000001</v>
      </c>
      <c r="GI41" s="182">
        <v>34.637</v>
      </c>
      <c r="GJ41" s="182">
        <v>33.598999999999997</v>
      </c>
      <c r="GK41" s="182"/>
      <c r="GL41" s="114"/>
      <c r="GM41" s="114"/>
      <c r="GN41" s="114"/>
      <c r="GP41" s="114"/>
      <c r="GQ41" s="114"/>
      <c r="GR41" s="114"/>
      <c r="GS41" s="114"/>
      <c r="GU41" s="114"/>
      <c r="GV41" s="114"/>
      <c r="GW41" s="114"/>
      <c r="GX41" s="114"/>
      <c r="HE41" s="113"/>
      <c r="HF41" s="113"/>
      <c r="HG41" s="113"/>
      <c r="HH41" s="113"/>
      <c r="HI41" s="113"/>
      <c r="HJ41" s="115"/>
      <c r="HK41" s="115"/>
      <c r="HL41" s="114"/>
      <c r="HV41" s="116"/>
    </row>
    <row r="42" spans="1:230" x14ac:dyDescent="0.2">
      <c r="A42" s="128">
        <v>39</v>
      </c>
      <c r="B42" s="129" t="s">
        <v>85</v>
      </c>
      <c r="C42" s="117">
        <v>3929</v>
      </c>
      <c r="D42" s="117">
        <v>3918</v>
      </c>
      <c r="E42" s="117">
        <v>3923</v>
      </c>
      <c r="F42" s="117">
        <v>3814</v>
      </c>
      <c r="G42" s="151">
        <v>3744</v>
      </c>
      <c r="H42" s="155">
        <v>3530</v>
      </c>
      <c r="I42" s="155">
        <v>42</v>
      </c>
      <c r="J42" s="155">
        <v>51</v>
      </c>
      <c r="K42" s="155">
        <v>68</v>
      </c>
      <c r="L42" s="155">
        <v>53</v>
      </c>
      <c r="M42" s="40">
        <v>1756</v>
      </c>
      <c r="N42" s="40">
        <v>1762</v>
      </c>
      <c r="O42" s="40">
        <v>1763</v>
      </c>
      <c r="P42" s="106">
        <v>1755</v>
      </c>
      <c r="Q42" s="106">
        <v>1723</v>
      </c>
      <c r="R42" s="51">
        <v>34</v>
      </c>
      <c r="S42" s="51">
        <v>35.1</v>
      </c>
      <c r="T42" s="51">
        <v>36.940298507462686</v>
      </c>
      <c r="U42" s="51">
        <v>36.855452240067628</v>
      </c>
      <c r="V42" s="51">
        <v>39.417989417989418</v>
      </c>
      <c r="W42" s="38">
        <v>24.4</v>
      </c>
      <c r="X42" s="38">
        <v>24.4</v>
      </c>
      <c r="Y42" s="38">
        <v>25.70480928689884</v>
      </c>
      <c r="Z42" s="38">
        <v>24.344885883347423</v>
      </c>
      <c r="AA42" s="38">
        <v>25.661375661375661</v>
      </c>
      <c r="AB42" s="51">
        <v>58.4</v>
      </c>
      <c r="AC42" s="51">
        <v>59.5</v>
      </c>
      <c r="AD42" s="51">
        <v>62.645107794361522</v>
      </c>
      <c r="AE42" s="51">
        <v>61.200338123415044</v>
      </c>
      <c r="AF42" s="51">
        <v>65.079365079365076</v>
      </c>
      <c r="AG42" s="39">
        <v>5.8</v>
      </c>
      <c r="AH42" s="39">
        <v>4.674457429048414</v>
      </c>
      <c r="AI42" s="39">
        <v>4.4063647490820079</v>
      </c>
      <c r="AJ42" s="39">
        <v>4.7381546134663344</v>
      </c>
      <c r="AK42" s="39">
        <v>4.8668885191347755</v>
      </c>
      <c r="AL42" s="43">
        <v>157.91666666666666</v>
      </c>
      <c r="AM42" s="43">
        <v>148.83333333333334</v>
      </c>
      <c r="AN42" s="43">
        <v>130</v>
      </c>
      <c r="AO42" s="43">
        <v>119.75</v>
      </c>
      <c r="AP42" s="43">
        <v>111.83333333333333</v>
      </c>
      <c r="AQ42" s="190">
        <v>40691.381947985727</v>
      </c>
      <c r="AR42" s="190">
        <v>43423.926286153059</v>
      </c>
      <c r="AS42" s="190">
        <v>46070.189452124934</v>
      </c>
      <c r="AT42" s="190">
        <v>46098.846355532245</v>
      </c>
      <c r="AU42" s="190">
        <v>51902.73</v>
      </c>
      <c r="AV42" s="162">
        <v>43138.200000000004</v>
      </c>
      <c r="AW42" s="162">
        <v>44349.760000000002</v>
      </c>
      <c r="AX42" s="162">
        <v>46516.08</v>
      </c>
      <c r="AY42" s="161">
        <v>47511.840000000004</v>
      </c>
      <c r="AZ42" s="161">
        <v>49828</v>
      </c>
      <c r="BA42" s="49">
        <v>12.4</v>
      </c>
      <c r="BB42" s="49">
        <v>10.7</v>
      </c>
      <c r="BC42" s="49">
        <v>11.7</v>
      </c>
      <c r="BD42" s="49">
        <v>10.9</v>
      </c>
      <c r="BE42" s="49">
        <v>9.6999999999999993</v>
      </c>
      <c r="BF42" s="42">
        <v>19.899999999999999</v>
      </c>
      <c r="BG42" s="42">
        <v>18.600000000000001</v>
      </c>
      <c r="BH42" s="42">
        <v>16.2</v>
      </c>
      <c r="BI42" s="42">
        <v>15.9</v>
      </c>
      <c r="BJ42" s="42">
        <v>13.8</v>
      </c>
      <c r="BK42" s="36">
        <v>461</v>
      </c>
      <c r="BL42" s="36">
        <v>464</v>
      </c>
      <c r="BM42" s="36">
        <v>449</v>
      </c>
      <c r="BN42" s="36">
        <v>462</v>
      </c>
      <c r="BO42" s="40">
        <v>48.590021691973966</v>
      </c>
      <c r="BP42" s="40">
        <v>53.232758620689658</v>
      </c>
      <c r="BQ42" s="40">
        <v>44.543429844097993</v>
      </c>
      <c r="BR42" s="40">
        <v>44.805194805194802</v>
      </c>
      <c r="BS42" s="51">
        <v>0</v>
      </c>
      <c r="BT42" s="51" t="s">
        <v>481</v>
      </c>
      <c r="BU42" s="51" t="s">
        <v>481</v>
      </c>
      <c r="BV42" s="51">
        <v>0</v>
      </c>
      <c r="BW42" s="39">
        <v>14.099783080260304</v>
      </c>
      <c r="BX42" s="39">
        <v>16.379310344827587</v>
      </c>
      <c r="BY42" s="39">
        <v>14.253897550111359</v>
      </c>
      <c r="BZ42" s="39">
        <v>12.987012987012985</v>
      </c>
      <c r="CA42" s="40">
        <v>94.117647058823522</v>
      </c>
      <c r="CB42" s="40">
        <v>79.166666666666657</v>
      </c>
      <c r="CC42" s="40">
        <v>88.24</v>
      </c>
      <c r="CD42" s="40">
        <v>91.43</v>
      </c>
      <c r="CE42" s="40">
        <v>2.9411764705882351</v>
      </c>
      <c r="CF42" s="40">
        <v>13.043478260869565</v>
      </c>
      <c r="CG42" s="40">
        <v>11.76</v>
      </c>
      <c r="CH42" s="40">
        <v>5.71</v>
      </c>
      <c r="CI42" s="105">
        <v>182</v>
      </c>
      <c r="CJ42" s="105">
        <v>219</v>
      </c>
      <c r="CK42" s="104">
        <v>167</v>
      </c>
      <c r="CL42" s="104">
        <v>183</v>
      </c>
      <c r="CM42" s="39">
        <v>8.0705955390004878</v>
      </c>
      <c r="CN42" s="39">
        <v>12.697860497477823</v>
      </c>
      <c r="CO42" s="39">
        <v>8.3961789844142789</v>
      </c>
      <c r="CP42" s="39">
        <v>9.4681291390728468</v>
      </c>
      <c r="CQ42" s="104">
        <v>7</v>
      </c>
      <c r="CR42" s="104">
        <v>13</v>
      </c>
      <c r="CS42" s="104">
        <v>3</v>
      </c>
      <c r="CT42" s="104">
        <v>5</v>
      </c>
      <c r="CU42" s="39">
        <v>4.0999999999999996</v>
      </c>
      <c r="CV42" s="39">
        <v>5.9</v>
      </c>
      <c r="CW42" s="39">
        <v>1.9</v>
      </c>
      <c r="CX42" s="39">
        <v>2.7</v>
      </c>
      <c r="CY42" s="36">
        <v>10</v>
      </c>
      <c r="CZ42" s="104">
        <v>17</v>
      </c>
      <c r="DA42" s="104">
        <v>7</v>
      </c>
      <c r="DB42" s="104">
        <v>8</v>
      </c>
      <c r="DC42" s="39">
        <v>6.3</v>
      </c>
      <c r="DD42" s="39">
        <v>9.1</v>
      </c>
      <c r="DE42" s="39">
        <v>4.5</v>
      </c>
      <c r="DF42" s="39">
        <v>4.4000000000000004</v>
      </c>
      <c r="DG42" s="39">
        <v>82.7</v>
      </c>
      <c r="DH42" s="39">
        <v>78</v>
      </c>
      <c r="DI42" s="39">
        <v>74.7</v>
      </c>
      <c r="DJ42" s="39">
        <v>78.2</v>
      </c>
      <c r="DK42" s="39">
        <v>8.1999999999999993</v>
      </c>
      <c r="DL42" s="39">
        <v>14.7</v>
      </c>
      <c r="DM42" s="39">
        <v>17.399999999999999</v>
      </c>
      <c r="DN42" s="39">
        <v>21.9</v>
      </c>
      <c r="DO42" s="39">
        <v>29.1</v>
      </c>
      <c r="DP42" s="39">
        <v>30.6</v>
      </c>
      <c r="DQ42" s="39">
        <v>31.1</v>
      </c>
      <c r="DR42" s="39">
        <v>49.2</v>
      </c>
      <c r="DS42" s="39">
        <v>27.9</v>
      </c>
      <c r="DT42" s="39">
        <v>20.399999999999999</v>
      </c>
      <c r="DU42" s="39">
        <v>20.9</v>
      </c>
      <c r="DV42" s="39">
        <v>25.3</v>
      </c>
      <c r="DW42" s="45">
        <v>30</v>
      </c>
      <c r="DX42" s="45">
        <v>0</v>
      </c>
      <c r="DY42" s="15">
        <v>1</v>
      </c>
      <c r="DZ42" s="45">
        <v>3</v>
      </c>
      <c r="EA42" s="45">
        <v>0</v>
      </c>
      <c r="EB42" s="45">
        <v>1</v>
      </c>
      <c r="EC42" s="45">
        <v>2</v>
      </c>
      <c r="ED42" s="45">
        <v>2</v>
      </c>
      <c r="EE42" s="45"/>
      <c r="EF42" s="104">
        <v>221</v>
      </c>
      <c r="EG42" s="104">
        <v>235</v>
      </c>
      <c r="EH42" s="104">
        <v>225</v>
      </c>
      <c r="EI42" s="104">
        <v>230</v>
      </c>
      <c r="EJ42" s="174">
        <v>48</v>
      </c>
      <c r="EK42" s="174"/>
      <c r="EL42" s="174"/>
      <c r="EM42" s="174"/>
      <c r="EN42" s="174"/>
      <c r="EO42" s="39">
        <v>977.44399999999996</v>
      </c>
      <c r="EP42" s="39">
        <v>1063.1079999999999</v>
      </c>
      <c r="EQ42" s="39">
        <v>1112.4849999999999</v>
      </c>
      <c r="ER42" s="39">
        <v>1172.5719999999999</v>
      </c>
      <c r="ES42" s="39">
        <v>743.91300000000001</v>
      </c>
      <c r="ET42" s="39">
        <v>689.923</v>
      </c>
      <c r="EU42" s="39">
        <v>699.12099999999998</v>
      </c>
      <c r="EV42" s="39">
        <v>725.71199999999999</v>
      </c>
      <c r="EW42" s="39">
        <v>796.59500000000003</v>
      </c>
      <c r="EX42" s="39">
        <v>831.53099999999995</v>
      </c>
      <c r="EY42" s="39">
        <v>857.61599999999999</v>
      </c>
      <c r="EZ42" s="39">
        <v>859.81799999999998</v>
      </c>
      <c r="FA42" s="39">
        <v>691.75099999999998</v>
      </c>
      <c r="FB42" s="39">
        <v>560.21900000000005</v>
      </c>
      <c r="FC42" s="39">
        <v>578.28599999999994</v>
      </c>
      <c r="FD42" s="39">
        <v>620.1</v>
      </c>
      <c r="FE42" s="44">
        <v>57</v>
      </c>
      <c r="FF42" s="44">
        <v>63</v>
      </c>
      <c r="FG42" s="44">
        <v>47</v>
      </c>
      <c r="FH42" s="44">
        <v>48</v>
      </c>
      <c r="FI42" s="39">
        <v>185.69200000000001</v>
      </c>
      <c r="FJ42" s="39">
        <v>188.881</v>
      </c>
      <c r="FK42" s="39">
        <v>142.47300000000001</v>
      </c>
      <c r="FL42" s="39">
        <v>142.154</v>
      </c>
      <c r="FM42" s="45">
        <v>52</v>
      </c>
      <c r="FN42" s="45">
        <v>69</v>
      </c>
      <c r="FO42" s="36">
        <v>53</v>
      </c>
      <c r="FP42" s="45">
        <v>57</v>
      </c>
      <c r="FQ42" s="39">
        <v>169.25899999999999</v>
      </c>
      <c r="FR42" s="39">
        <v>186.37899999999999</v>
      </c>
      <c r="FS42" s="39">
        <v>157.59700000000001</v>
      </c>
      <c r="FT42" s="39">
        <v>168.54499999999999</v>
      </c>
      <c r="FU42" s="43">
        <v>28</v>
      </c>
      <c r="FV42" s="43">
        <v>16</v>
      </c>
      <c r="FW42" s="43">
        <v>13</v>
      </c>
      <c r="FX42" s="45">
        <v>11</v>
      </c>
      <c r="FY42" s="39">
        <v>88.334999999999994</v>
      </c>
      <c r="FZ42" s="39">
        <v>46.186999999999998</v>
      </c>
      <c r="GA42" s="39">
        <v>40.274000000000001</v>
      </c>
      <c r="GB42" s="39">
        <v>31.992000000000001</v>
      </c>
      <c r="GC42" s="150">
        <v>13</v>
      </c>
      <c r="GD42" s="150">
        <v>14</v>
      </c>
      <c r="GE42" s="150">
        <v>15</v>
      </c>
      <c r="GF42" s="150">
        <v>6</v>
      </c>
      <c r="GG42" s="182">
        <v>63.676000000000002</v>
      </c>
      <c r="GH42" s="182">
        <v>54.834000000000003</v>
      </c>
      <c r="GI42" s="182">
        <v>64.635999999999996</v>
      </c>
      <c r="GJ42" s="182">
        <v>31.599</v>
      </c>
      <c r="GK42" s="182"/>
      <c r="GL42" s="114"/>
      <c r="GM42" s="114"/>
      <c r="GN42" s="114"/>
      <c r="GP42" s="114"/>
      <c r="GQ42" s="114"/>
      <c r="GR42" s="114"/>
      <c r="GS42" s="114"/>
      <c r="GU42" s="114"/>
      <c r="GV42" s="114"/>
      <c r="GW42" s="114"/>
      <c r="GX42" s="114"/>
      <c r="HE42" s="113"/>
      <c r="HF42" s="113"/>
      <c r="HG42" s="113"/>
      <c r="HH42" s="113"/>
      <c r="HI42" s="113"/>
      <c r="HJ42" s="115"/>
      <c r="HK42" s="115"/>
      <c r="HL42" s="114"/>
      <c r="HV42" s="116"/>
    </row>
    <row r="43" spans="1:230" x14ac:dyDescent="0.2">
      <c r="A43" s="128">
        <v>40</v>
      </c>
      <c r="B43" s="129" t="s">
        <v>86</v>
      </c>
      <c r="C43" s="117">
        <v>27810</v>
      </c>
      <c r="D43" s="117">
        <v>27770</v>
      </c>
      <c r="E43" s="117">
        <v>27663</v>
      </c>
      <c r="F43" s="117">
        <v>27591</v>
      </c>
      <c r="G43" s="151">
        <v>28111</v>
      </c>
      <c r="H43" s="155">
        <v>25878</v>
      </c>
      <c r="I43" s="155">
        <v>265</v>
      </c>
      <c r="J43" s="155">
        <v>109</v>
      </c>
      <c r="K43" s="155">
        <v>178</v>
      </c>
      <c r="L43" s="155">
        <v>1681</v>
      </c>
      <c r="M43" s="40">
        <v>10840</v>
      </c>
      <c r="N43" s="40">
        <v>10844</v>
      </c>
      <c r="O43" s="40">
        <v>10836</v>
      </c>
      <c r="P43" s="106">
        <v>10852</v>
      </c>
      <c r="Q43" s="106">
        <v>10927</v>
      </c>
      <c r="R43" s="51">
        <v>24.4</v>
      </c>
      <c r="S43" s="51">
        <v>25</v>
      </c>
      <c r="T43" s="51">
        <v>25.721903897430074</v>
      </c>
      <c r="U43" s="51">
        <v>26.328998402920373</v>
      </c>
      <c r="V43" s="51">
        <v>27.409621566747504</v>
      </c>
      <c r="W43" s="38">
        <v>32.200000000000003</v>
      </c>
      <c r="X43" s="38">
        <v>31.4</v>
      </c>
      <c r="Y43" s="38">
        <v>31.213479321495434</v>
      </c>
      <c r="Z43" s="38">
        <v>31.046087154916723</v>
      </c>
      <c r="AA43" s="38">
        <v>31.13191585358976</v>
      </c>
      <c r="AB43" s="51">
        <v>56.6</v>
      </c>
      <c r="AC43" s="51">
        <v>56.4</v>
      </c>
      <c r="AD43" s="51">
        <v>56.935383218925516</v>
      </c>
      <c r="AE43" s="51">
        <v>57.375085557837103</v>
      </c>
      <c r="AF43" s="51">
        <v>58.541537420337264</v>
      </c>
      <c r="AG43" s="39">
        <v>6.5</v>
      </c>
      <c r="AH43" s="39">
        <v>5.2513895099980834</v>
      </c>
      <c r="AI43" s="39">
        <v>4.6544071020925806</v>
      </c>
      <c r="AJ43" s="39">
        <v>4.889488563351323</v>
      </c>
      <c r="AK43" s="39">
        <v>4.823151125401929</v>
      </c>
      <c r="AL43" s="43">
        <v>884.5</v>
      </c>
      <c r="AM43" s="43">
        <v>833.5</v>
      </c>
      <c r="AN43" s="43">
        <v>775.25</v>
      </c>
      <c r="AO43" s="43">
        <v>703.75</v>
      </c>
      <c r="AP43" s="43">
        <v>669.16666666666663</v>
      </c>
      <c r="AQ43" s="190">
        <v>42772.860759493669</v>
      </c>
      <c r="AR43" s="190">
        <v>44010.254561188434</v>
      </c>
      <c r="AS43" s="190">
        <v>45420.484980094101</v>
      </c>
      <c r="AT43" s="190">
        <v>45713.95418795984</v>
      </c>
      <c r="AU43" s="190">
        <v>48461.5</v>
      </c>
      <c r="AV43" s="162">
        <v>61242.3</v>
      </c>
      <c r="AW43" s="162">
        <v>62597.599999999999</v>
      </c>
      <c r="AX43" s="162">
        <v>64131.600000000006</v>
      </c>
      <c r="AY43" s="161">
        <v>64552.160000000003</v>
      </c>
      <c r="AZ43" s="161">
        <v>69581</v>
      </c>
      <c r="BA43" s="49">
        <v>8.9</v>
      </c>
      <c r="BB43" s="49">
        <v>8.9</v>
      </c>
      <c r="BC43" s="49">
        <v>8.5</v>
      </c>
      <c r="BD43" s="49">
        <v>8.4</v>
      </c>
      <c r="BE43" s="49">
        <v>7.7</v>
      </c>
      <c r="BF43" s="42">
        <v>11.2</v>
      </c>
      <c r="BG43" s="42">
        <v>10.9</v>
      </c>
      <c r="BH43" s="42">
        <v>10.9</v>
      </c>
      <c r="BI43" s="42">
        <v>10.7</v>
      </c>
      <c r="BJ43" s="42">
        <v>8.4</v>
      </c>
      <c r="BK43" s="36">
        <v>4360</v>
      </c>
      <c r="BL43" s="36">
        <v>4350</v>
      </c>
      <c r="BM43" s="36">
        <v>4292</v>
      </c>
      <c r="BN43" s="36">
        <v>3738</v>
      </c>
      <c r="BO43" s="40">
        <v>36.376146788990823</v>
      </c>
      <c r="BP43" s="40">
        <v>34.988505747126439</v>
      </c>
      <c r="BQ43" s="40">
        <v>32.525629077353216</v>
      </c>
      <c r="BR43" s="40">
        <v>34.189406099518457</v>
      </c>
      <c r="BS43" s="51">
        <v>5.5045871559633026</v>
      </c>
      <c r="BT43" s="51">
        <v>5.2183908045977008</v>
      </c>
      <c r="BU43" s="51">
        <v>4.4268406337371857</v>
      </c>
      <c r="BV43" s="51">
        <v>5.1899411449973245</v>
      </c>
      <c r="BW43" s="39">
        <v>14.954128440366972</v>
      </c>
      <c r="BX43" s="39">
        <v>15.241379310344827</v>
      </c>
      <c r="BY43" s="39">
        <v>14.72506989748369</v>
      </c>
      <c r="BZ43" s="39">
        <v>16.211878009630816</v>
      </c>
      <c r="CA43" s="40">
        <v>88.888888888888886</v>
      </c>
      <c r="CB43" s="40">
        <v>88.050314465408803</v>
      </c>
      <c r="CC43" s="40">
        <v>85.71</v>
      </c>
      <c r="CD43" s="40">
        <v>86.18</v>
      </c>
      <c r="CE43" s="40">
        <v>3.0303030303030303</v>
      </c>
      <c r="CF43" s="40">
        <v>2.4922118380062304</v>
      </c>
      <c r="CG43" s="40">
        <v>4.76</v>
      </c>
      <c r="CH43" s="40">
        <v>2.96</v>
      </c>
      <c r="CI43" s="105">
        <v>1562</v>
      </c>
      <c r="CJ43" s="105">
        <v>1802</v>
      </c>
      <c r="CK43" s="104">
        <v>1669</v>
      </c>
      <c r="CL43" s="104">
        <v>1591</v>
      </c>
      <c r="CM43" s="39">
        <v>12.206176544136033</v>
      </c>
      <c r="CN43" s="39">
        <v>16.295157571099153</v>
      </c>
      <c r="CO43" s="39">
        <v>11.995371468408834</v>
      </c>
      <c r="CP43" s="39">
        <v>11.450573968116881</v>
      </c>
      <c r="CQ43" s="104">
        <v>58</v>
      </c>
      <c r="CR43" s="104">
        <v>83</v>
      </c>
      <c r="CS43" s="104">
        <v>71</v>
      </c>
      <c r="CT43" s="104">
        <v>63</v>
      </c>
      <c r="CU43" s="39">
        <v>3.8</v>
      </c>
      <c r="CV43" s="39">
        <v>4.7</v>
      </c>
      <c r="CW43" s="39">
        <v>4.4000000000000004</v>
      </c>
      <c r="CX43" s="39">
        <v>4.0999999999999996</v>
      </c>
      <c r="CY43" s="36">
        <v>97</v>
      </c>
      <c r="CZ43" s="104">
        <v>149</v>
      </c>
      <c r="DA43" s="104">
        <v>98</v>
      </c>
      <c r="DB43" s="104">
        <v>97</v>
      </c>
      <c r="DC43" s="39">
        <v>7</v>
      </c>
      <c r="DD43" s="39">
        <v>9.1</v>
      </c>
      <c r="DE43" s="39">
        <v>6.2</v>
      </c>
      <c r="DF43" s="39">
        <v>6.3</v>
      </c>
      <c r="DG43" s="39">
        <v>82.8</v>
      </c>
      <c r="DH43" s="39">
        <v>87.2</v>
      </c>
      <c r="DI43" s="39">
        <v>88.3</v>
      </c>
      <c r="DJ43" s="39">
        <v>86.9</v>
      </c>
      <c r="DK43" s="39">
        <v>14</v>
      </c>
      <c r="DL43" s="39">
        <v>10.3</v>
      </c>
      <c r="DM43" s="39">
        <v>10.9</v>
      </c>
      <c r="DN43" s="39">
        <v>14.4</v>
      </c>
      <c r="DO43" s="39">
        <v>25.9</v>
      </c>
      <c r="DP43" s="39">
        <v>29.2</v>
      </c>
      <c r="DQ43" s="39">
        <v>31</v>
      </c>
      <c r="DR43" s="39">
        <v>34</v>
      </c>
      <c r="DS43" s="39">
        <v>29.6</v>
      </c>
      <c r="DT43" s="39">
        <v>24.2</v>
      </c>
      <c r="DU43" s="39">
        <v>21.9</v>
      </c>
      <c r="DV43" s="39">
        <v>12.3</v>
      </c>
      <c r="DW43" s="45">
        <v>297</v>
      </c>
      <c r="DX43" s="45">
        <v>5</v>
      </c>
      <c r="DY43" s="15">
        <v>2</v>
      </c>
      <c r="DZ43" s="45">
        <v>5</v>
      </c>
      <c r="EA43" s="45">
        <v>44</v>
      </c>
      <c r="EB43" s="45">
        <v>4</v>
      </c>
      <c r="EC43" s="45">
        <v>5</v>
      </c>
      <c r="ED43" s="45">
        <v>4</v>
      </c>
      <c r="EE43" s="45">
        <v>10</v>
      </c>
      <c r="EF43" s="104">
        <v>1134</v>
      </c>
      <c r="EG43" s="104">
        <v>989</v>
      </c>
      <c r="EH43" s="104">
        <v>1019</v>
      </c>
      <c r="EI43" s="104">
        <v>1143</v>
      </c>
      <c r="EJ43" s="174">
        <v>228</v>
      </c>
      <c r="EK43" s="174"/>
      <c r="EL43" s="174"/>
      <c r="EM43" s="174"/>
      <c r="EN43" s="174">
        <v>1</v>
      </c>
      <c r="EO43" s="39">
        <v>892</v>
      </c>
      <c r="EP43" s="39">
        <v>719.53399999999999</v>
      </c>
      <c r="EQ43" s="39">
        <v>735.66</v>
      </c>
      <c r="ER43" s="39">
        <v>826.375</v>
      </c>
      <c r="ES43" s="39">
        <v>775.41</v>
      </c>
      <c r="ET43" s="39">
        <v>593.447</v>
      </c>
      <c r="EU43" s="39">
        <v>639.28899999999999</v>
      </c>
      <c r="EV43" s="39">
        <v>673.90700000000004</v>
      </c>
      <c r="EW43" s="39">
        <v>1008.953</v>
      </c>
      <c r="EX43" s="39">
        <v>757.02700000000004</v>
      </c>
      <c r="EY43" s="39">
        <v>795.90800000000002</v>
      </c>
      <c r="EZ43" s="39">
        <v>835.91899999999998</v>
      </c>
      <c r="FA43" s="39">
        <v>598.62400000000002</v>
      </c>
      <c r="FB43" s="39">
        <v>472.31</v>
      </c>
      <c r="FC43" s="39">
        <v>512.23800000000006</v>
      </c>
      <c r="FD43" s="39">
        <v>544.93499999999995</v>
      </c>
      <c r="FE43" s="44">
        <v>281</v>
      </c>
      <c r="FF43" s="44">
        <v>249</v>
      </c>
      <c r="FG43" s="44">
        <v>276</v>
      </c>
      <c r="FH43" s="44">
        <v>262</v>
      </c>
      <c r="FI43" s="39">
        <v>198.01300000000001</v>
      </c>
      <c r="FJ43" s="39">
        <v>158.97800000000001</v>
      </c>
      <c r="FK43" s="39">
        <v>169.91300000000001</v>
      </c>
      <c r="FL43" s="39">
        <v>149.804</v>
      </c>
      <c r="FM43" s="45">
        <v>277</v>
      </c>
      <c r="FN43" s="45">
        <v>264</v>
      </c>
      <c r="FO43" s="36">
        <v>228</v>
      </c>
      <c r="FP43" s="45">
        <v>267</v>
      </c>
      <c r="FQ43" s="39">
        <v>185.352</v>
      </c>
      <c r="FR43" s="39">
        <v>151.47300000000001</v>
      </c>
      <c r="FS43" s="39">
        <v>142.62700000000001</v>
      </c>
      <c r="FT43" s="39">
        <v>156.24100000000001</v>
      </c>
      <c r="FU43" s="43">
        <v>80</v>
      </c>
      <c r="FV43" s="43">
        <v>52</v>
      </c>
      <c r="FW43" s="43">
        <v>53</v>
      </c>
      <c r="FX43" s="45">
        <v>57</v>
      </c>
      <c r="FY43" s="39">
        <v>51.93</v>
      </c>
      <c r="FZ43" s="39">
        <v>28.83</v>
      </c>
      <c r="GA43" s="39">
        <v>32.639000000000003</v>
      </c>
      <c r="GB43" s="39">
        <v>32.665999999999997</v>
      </c>
      <c r="GC43" s="150">
        <v>60</v>
      </c>
      <c r="GD43" s="150">
        <v>52</v>
      </c>
      <c r="GE43" s="150">
        <v>39</v>
      </c>
      <c r="GF43" s="150">
        <v>69</v>
      </c>
      <c r="GG43" s="182">
        <v>44.287999999999997</v>
      </c>
      <c r="GH43" s="182">
        <v>34.802999999999997</v>
      </c>
      <c r="GI43" s="182">
        <v>27.706</v>
      </c>
      <c r="GJ43" s="182">
        <v>44.959000000000003</v>
      </c>
      <c r="GK43" s="182"/>
      <c r="GL43" s="114"/>
      <c r="GM43" s="114"/>
      <c r="GN43" s="114"/>
      <c r="GP43" s="114"/>
      <c r="GQ43" s="114"/>
      <c r="GR43" s="114"/>
      <c r="GS43" s="114"/>
      <c r="GU43" s="114"/>
      <c r="GV43" s="114"/>
      <c r="GW43" s="114"/>
      <c r="GX43" s="114"/>
      <c r="HE43" s="113"/>
      <c r="HF43" s="113"/>
      <c r="HG43" s="113"/>
      <c r="HH43" s="113"/>
      <c r="HI43" s="113"/>
      <c r="HJ43" s="115"/>
      <c r="HK43" s="115"/>
      <c r="HL43" s="114"/>
      <c r="HV43" s="116"/>
    </row>
    <row r="44" spans="1:230" x14ac:dyDescent="0.2">
      <c r="A44" s="128">
        <v>41</v>
      </c>
      <c r="B44" s="129" t="s">
        <v>87</v>
      </c>
      <c r="C44" s="117">
        <v>5830</v>
      </c>
      <c r="D44" s="117">
        <v>5788</v>
      </c>
      <c r="E44" s="117">
        <v>5771</v>
      </c>
      <c r="F44" s="117">
        <v>5783</v>
      </c>
      <c r="G44" s="151">
        <v>5678</v>
      </c>
      <c r="H44" s="155">
        <v>5480</v>
      </c>
      <c r="I44" s="155">
        <v>36</v>
      </c>
      <c r="J44" s="155">
        <v>15</v>
      </c>
      <c r="K44" s="155">
        <v>31</v>
      </c>
      <c r="L44" s="155">
        <v>116</v>
      </c>
      <c r="M44" s="40">
        <v>2558</v>
      </c>
      <c r="N44" s="40">
        <v>2548</v>
      </c>
      <c r="O44" s="40">
        <v>2540</v>
      </c>
      <c r="P44" s="106">
        <v>2535</v>
      </c>
      <c r="Q44" s="106">
        <v>2525</v>
      </c>
      <c r="R44" s="51">
        <v>44.7</v>
      </c>
      <c r="S44" s="51">
        <v>44.4</v>
      </c>
      <c r="T44" s="51">
        <v>44.056807656684157</v>
      </c>
      <c r="U44" s="51">
        <v>45.369504209541631</v>
      </c>
      <c r="V44" s="51">
        <v>43.969610636277302</v>
      </c>
      <c r="W44" s="38">
        <v>33.4</v>
      </c>
      <c r="X44" s="38">
        <v>33.700000000000003</v>
      </c>
      <c r="Y44" s="38">
        <v>34.11546773695585</v>
      </c>
      <c r="Z44" s="38">
        <v>34.954786404739629</v>
      </c>
      <c r="AA44" s="38">
        <v>35.77081354859132</v>
      </c>
      <c r="AB44" s="51">
        <v>78.099999999999994</v>
      </c>
      <c r="AC44" s="51">
        <v>78</v>
      </c>
      <c r="AD44" s="51">
        <v>78.172275393640007</v>
      </c>
      <c r="AE44" s="51">
        <v>80.324290614281253</v>
      </c>
      <c r="AF44" s="51">
        <v>79.74042418486863</v>
      </c>
      <c r="AG44" s="39">
        <v>4.3</v>
      </c>
      <c r="AH44" s="39">
        <v>4.2385709960641842</v>
      </c>
      <c r="AI44" s="39">
        <v>3.5535976505139502</v>
      </c>
      <c r="AJ44" s="39">
        <v>3.6487689113022843</v>
      </c>
      <c r="AK44" s="39">
        <v>3.4534534534534531</v>
      </c>
      <c r="AL44" s="43">
        <v>151.66666666666666</v>
      </c>
      <c r="AM44" s="43">
        <v>158.5</v>
      </c>
      <c r="AN44" s="43">
        <v>156.5</v>
      </c>
      <c r="AO44" s="43">
        <v>171.08333333333334</v>
      </c>
      <c r="AP44" s="43">
        <v>165.58333333333334</v>
      </c>
      <c r="AQ44" s="190">
        <v>50361.459589867307</v>
      </c>
      <c r="AR44" s="190">
        <v>47337.467700258407</v>
      </c>
      <c r="AS44" s="190">
        <v>48847.900121380269</v>
      </c>
      <c r="AT44" s="190">
        <v>47391.577036140407</v>
      </c>
      <c r="AU44" s="190">
        <v>43593.72</v>
      </c>
      <c r="AV44" s="162">
        <v>46156.950000000004</v>
      </c>
      <c r="AW44" s="162">
        <v>50133.200000000004</v>
      </c>
      <c r="AX44" s="162">
        <v>50386.96</v>
      </c>
      <c r="AY44" s="161">
        <v>53728.92</v>
      </c>
      <c r="AZ44" s="161">
        <v>51278</v>
      </c>
      <c r="BA44" s="49">
        <v>11.4</v>
      </c>
      <c r="BB44" s="49">
        <v>10.199999999999999</v>
      </c>
      <c r="BC44" s="49">
        <v>9.3000000000000007</v>
      </c>
      <c r="BD44" s="49">
        <v>12.7</v>
      </c>
      <c r="BE44" s="49">
        <v>10.4</v>
      </c>
      <c r="BF44" s="42">
        <v>13.6</v>
      </c>
      <c r="BG44" s="42">
        <v>13.2</v>
      </c>
      <c r="BH44" s="42">
        <v>13.1</v>
      </c>
      <c r="BI44" s="42">
        <v>18.399999999999999</v>
      </c>
      <c r="BJ44" s="42">
        <v>12.2</v>
      </c>
      <c r="BK44" s="36">
        <v>892</v>
      </c>
      <c r="BL44" s="36">
        <v>886</v>
      </c>
      <c r="BM44" s="36">
        <v>866</v>
      </c>
      <c r="BN44" s="36">
        <v>574</v>
      </c>
      <c r="BO44" s="40">
        <v>33.295964125560538</v>
      </c>
      <c r="BP44" s="40">
        <v>33.069977426636569</v>
      </c>
      <c r="BQ44" s="40">
        <v>31.986143187066975</v>
      </c>
      <c r="BR44" s="40">
        <v>40.418118466898953</v>
      </c>
      <c r="BS44" s="51">
        <v>0.33632286995515698</v>
      </c>
      <c r="BT44" s="51">
        <v>0.22573363431151242</v>
      </c>
      <c r="BU44" s="51">
        <v>0.92378752886836024</v>
      </c>
      <c r="BV44" s="51">
        <v>1.9163763066202089</v>
      </c>
      <c r="BW44" s="39">
        <v>13.901345291479821</v>
      </c>
      <c r="BX44" s="39">
        <v>13.995485327313769</v>
      </c>
      <c r="BY44" s="39">
        <v>11.316397228637413</v>
      </c>
      <c r="BZ44" s="39">
        <v>14.634146341463413</v>
      </c>
      <c r="CA44" s="40">
        <v>87.272727272727266</v>
      </c>
      <c r="CB44" s="40">
        <v>79.245283018867923</v>
      </c>
      <c r="CC44" s="40">
        <v>85.71</v>
      </c>
      <c r="CD44" s="40">
        <v>87.5</v>
      </c>
      <c r="CE44" s="40">
        <v>3.6363636363636362</v>
      </c>
      <c r="CF44" s="40">
        <v>5.5555555555555554</v>
      </c>
      <c r="CG44" s="40">
        <v>0</v>
      </c>
      <c r="CH44" s="198">
        <v>2.08</v>
      </c>
      <c r="CI44" s="105">
        <v>314</v>
      </c>
      <c r="CJ44" s="105">
        <v>366</v>
      </c>
      <c r="CK44" s="104">
        <v>326</v>
      </c>
      <c r="CL44" s="104">
        <v>363</v>
      </c>
      <c r="CM44" s="39">
        <v>9.8525258864135541</v>
      </c>
      <c r="CN44" s="39">
        <v>15.206913744390892</v>
      </c>
      <c r="CO44" s="39">
        <v>11.205059462432116</v>
      </c>
      <c r="CP44" s="39">
        <v>12.582322357019063</v>
      </c>
      <c r="CQ44" s="104">
        <v>22</v>
      </c>
      <c r="CR44" s="104">
        <v>20</v>
      </c>
      <c r="CS44" s="104">
        <v>14</v>
      </c>
      <c r="CT44" s="104">
        <v>12</v>
      </c>
      <c r="CU44" s="39">
        <v>7.2</v>
      </c>
      <c r="CV44" s="39">
        <v>5.6</v>
      </c>
      <c r="CW44" s="39">
        <v>4.5999999999999996</v>
      </c>
      <c r="CX44" s="39">
        <v>3.4</v>
      </c>
      <c r="CY44" s="36">
        <v>30</v>
      </c>
      <c r="CZ44" s="104">
        <v>32</v>
      </c>
      <c r="DA44" s="104">
        <v>30</v>
      </c>
      <c r="DB44" s="104">
        <v>19</v>
      </c>
      <c r="DC44" s="39">
        <v>10.9</v>
      </c>
      <c r="DD44" s="39">
        <v>9.6999999999999993</v>
      </c>
      <c r="DE44" s="39">
        <v>10.3</v>
      </c>
      <c r="DF44" s="39">
        <v>5.4</v>
      </c>
      <c r="DG44" s="39">
        <v>80.3</v>
      </c>
      <c r="DH44" s="39">
        <v>83.2</v>
      </c>
      <c r="DI44" s="39">
        <v>85.8</v>
      </c>
      <c r="DJ44" s="39">
        <v>88</v>
      </c>
      <c r="DK44" s="39">
        <v>15.1</v>
      </c>
      <c r="DL44" s="39">
        <v>14.2</v>
      </c>
      <c r="DM44" s="39">
        <v>13.5</v>
      </c>
      <c r="DN44" s="39">
        <v>9.1</v>
      </c>
      <c r="DO44" s="39">
        <v>15.3</v>
      </c>
      <c r="DP44" s="39">
        <v>16.7</v>
      </c>
      <c r="DQ44" s="39">
        <v>19.600000000000001</v>
      </c>
      <c r="DR44" s="39">
        <v>21.5</v>
      </c>
      <c r="DS44" s="39">
        <v>15.8</v>
      </c>
      <c r="DT44" s="39">
        <v>18.399999999999999</v>
      </c>
      <c r="DU44" s="39">
        <v>11.3</v>
      </c>
      <c r="DV44" s="39">
        <v>12.3</v>
      </c>
      <c r="DW44" s="45">
        <v>68</v>
      </c>
      <c r="DX44" s="45">
        <v>0</v>
      </c>
      <c r="DY44" s="15">
        <v>1</v>
      </c>
      <c r="DZ44" s="45">
        <v>2</v>
      </c>
      <c r="EA44" s="45">
        <v>2</v>
      </c>
      <c r="EB44" s="45">
        <v>1</v>
      </c>
      <c r="EC44" s="45">
        <v>1</v>
      </c>
      <c r="ED44" s="45"/>
      <c r="EE44" s="45">
        <v>1</v>
      </c>
      <c r="EF44" s="104">
        <v>501</v>
      </c>
      <c r="EG44" s="104">
        <v>474</v>
      </c>
      <c r="EH44" s="104">
        <v>430</v>
      </c>
      <c r="EI44" s="104">
        <v>392</v>
      </c>
      <c r="EJ44" s="174">
        <v>71</v>
      </c>
      <c r="EK44" s="174"/>
      <c r="EL44" s="174"/>
      <c r="EM44" s="174"/>
      <c r="EN44" s="174"/>
      <c r="EO44" s="39">
        <v>1558.5630000000001</v>
      </c>
      <c r="EP44" s="39">
        <v>1566.942</v>
      </c>
      <c r="EQ44" s="39">
        <v>1458.616</v>
      </c>
      <c r="ER44" s="39">
        <v>1358.5170000000001</v>
      </c>
      <c r="ES44" s="39">
        <v>740.94200000000001</v>
      </c>
      <c r="ET44" s="39">
        <v>747.26199999999994</v>
      </c>
      <c r="EU44" s="39">
        <v>672.45</v>
      </c>
      <c r="EV44" s="39">
        <v>630.31799999999998</v>
      </c>
      <c r="EW44" s="39">
        <v>952.39300000000003</v>
      </c>
      <c r="EX44" s="39">
        <v>996.86199999999997</v>
      </c>
      <c r="EY44" s="39">
        <v>812.38</v>
      </c>
      <c r="EZ44" s="39">
        <v>709.75099999999998</v>
      </c>
      <c r="FA44" s="39">
        <v>591.572</v>
      </c>
      <c r="FB44" s="39">
        <v>576.58799999999997</v>
      </c>
      <c r="FC44" s="39">
        <v>547.74599999999998</v>
      </c>
      <c r="FD44" s="39">
        <v>555.08799999999997</v>
      </c>
      <c r="FE44" s="44">
        <v>99</v>
      </c>
      <c r="FF44" s="44">
        <v>107</v>
      </c>
      <c r="FG44" s="44">
        <v>89</v>
      </c>
      <c r="FH44" s="44">
        <v>80</v>
      </c>
      <c r="FI44" s="39">
        <v>167.971</v>
      </c>
      <c r="FJ44" s="39">
        <v>187.70500000000001</v>
      </c>
      <c r="FK44" s="39">
        <v>150.45400000000001</v>
      </c>
      <c r="FL44" s="39">
        <v>141.751</v>
      </c>
      <c r="FM44" s="45">
        <v>135</v>
      </c>
      <c r="FN44" s="45">
        <v>107</v>
      </c>
      <c r="FO44" s="36">
        <v>113</v>
      </c>
      <c r="FP44" s="45">
        <v>78</v>
      </c>
      <c r="FQ44" s="39">
        <v>192.74600000000001</v>
      </c>
      <c r="FR44" s="39">
        <v>152.041</v>
      </c>
      <c r="FS44" s="39">
        <v>166.38399999999999</v>
      </c>
      <c r="FT44" s="39">
        <v>114.623</v>
      </c>
      <c r="FU44" s="43">
        <v>64</v>
      </c>
      <c r="FV44" s="43">
        <v>45</v>
      </c>
      <c r="FW44" s="43">
        <v>30</v>
      </c>
      <c r="FX44" s="45">
        <v>33</v>
      </c>
      <c r="FY44" s="39">
        <v>85.99</v>
      </c>
      <c r="FZ44" s="39">
        <v>60.906999999999996</v>
      </c>
      <c r="GA44" s="39">
        <v>39.154000000000003</v>
      </c>
      <c r="GB44" s="39">
        <v>46.576000000000001</v>
      </c>
      <c r="GC44" s="150">
        <v>22</v>
      </c>
      <c r="GD44" s="150">
        <v>32</v>
      </c>
      <c r="GE44" s="150">
        <v>13</v>
      </c>
      <c r="GF44" s="150">
        <v>17</v>
      </c>
      <c r="GG44" s="182">
        <v>50.588000000000001</v>
      </c>
      <c r="GH44" s="182">
        <v>72.486999999999995</v>
      </c>
      <c r="GI44" s="182">
        <v>36.664999999999999</v>
      </c>
      <c r="GJ44" s="182">
        <v>49.046999999999997</v>
      </c>
      <c r="GK44" s="182"/>
      <c r="GL44" s="114"/>
      <c r="GM44" s="114"/>
      <c r="GN44" s="114"/>
      <c r="GP44" s="114"/>
      <c r="GQ44" s="114"/>
      <c r="GR44" s="114"/>
      <c r="GS44" s="114"/>
      <c r="GU44" s="114"/>
      <c r="GV44" s="114"/>
      <c r="GW44" s="114"/>
      <c r="GX44" s="114"/>
      <c r="HE44" s="113"/>
      <c r="HF44" s="113"/>
      <c r="HG44" s="113"/>
      <c r="HH44" s="113"/>
      <c r="HI44" s="113"/>
      <c r="HJ44" s="115"/>
      <c r="HK44" s="115"/>
      <c r="HL44" s="114"/>
      <c r="HV44" s="116"/>
    </row>
    <row r="45" spans="1:230" ht="21" customHeight="1" x14ac:dyDescent="0.2">
      <c r="A45" s="128">
        <v>42</v>
      </c>
      <c r="B45" s="129" t="s">
        <v>88</v>
      </c>
      <c r="C45" s="117">
        <v>25487</v>
      </c>
      <c r="D45" s="117">
        <v>25665</v>
      </c>
      <c r="E45" s="117">
        <v>25673</v>
      </c>
      <c r="F45" s="117">
        <v>25699</v>
      </c>
      <c r="G45" s="151">
        <v>25831</v>
      </c>
      <c r="H45" s="155">
        <v>21912</v>
      </c>
      <c r="I45" s="155">
        <v>1010</v>
      </c>
      <c r="J45" s="155">
        <v>120</v>
      </c>
      <c r="K45" s="155">
        <v>1109</v>
      </c>
      <c r="L45" s="155">
        <v>1680</v>
      </c>
      <c r="M45" s="40">
        <v>10243</v>
      </c>
      <c r="N45" s="40">
        <v>10318</v>
      </c>
      <c r="O45" s="40">
        <v>10322</v>
      </c>
      <c r="P45" s="106">
        <v>10297</v>
      </c>
      <c r="Q45" s="106">
        <v>10341</v>
      </c>
      <c r="R45" s="51">
        <v>22</v>
      </c>
      <c r="S45" s="51">
        <v>22.2</v>
      </c>
      <c r="T45" s="51">
        <v>22.943172179813402</v>
      </c>
      <c r="U45" s="51">
        <v>23.51364522417154</v>
      </c>
      <c r="V45" s="51">
        <v>23.927051671732521</v>
      </c>
      <c r="W45" s="38">
        <v>31.8</v>
      </c>
      <c r="X45" s="38">
        <v>32</v>
      </c>
      <c r="Y45" s="38">
        <v>32.594208166727249</v>
      </c>
      <c r="Z45" s="38">
        <v>33.034844054580894</v>
      </c>
      <c r="AA45" s="38">
        <v>33.100303951367785</v>
      </c>
      <c r="AB45" s="51">
        <v>53.8</v>
      </c>
      <c r="AC45" s="51">
        <v>54.3</v>
      </c>
      <c r="AD45" s="51">
        <v>55.537380346540658</v>
      </c>
      <c r="AE45" s="51">
        <v>56.548489278752434</v>
      </c>
      <c r="AF45" s="51">
        <v>57.027355623100306</v>
      </c>
      <c r="AG45" s="39">
        <v>4.2</v>
      </c>
      <c r="AH45" s="39">
        <v>3.4961842019437741</v>
      </c>
      <c r="AI45" s="39">
        <v>3.2228660720098965</v>
      </c>
      <c r="AJ45" s="39">
        <v>3.5598276433543257</v>
      </c>
      <c r="AK45" s="39">
        <v>3.2717678100263852</v>
      </c>
      <c r="AL45" s="43">
        <v>1137.4166666666667</v>
      </c>
      <c r="AM45" s="43">
        <v>1090.25</v>
      </c>
      <c r="AN45" s="43">
        <v>1066.1666666666667</v>
      </c>
      <c r="AO45" s="43">
        <v>1090.8333333333333</v>
      </c>
      <c r="AP45" s="43">
        <v>1036.1666666666667</v>
      </c>
      <c r="AQ45" s="190">
        <v>46764.035053554042</v>
      </c>
      <c r="AR45" s="190">
        <v>46020.273353841359</v>
      </c>
      <c r="AS45" s="190">
        <v>47276.671730746762</v>
      </c>
      <c r="AT45" s="190">
        <v>45917.90419860695</v>
      </c>
      <c r="AU45" s="190">
        <v>47170.91</v>
      </c>
      <c r="AV45" s="162">
        <v>51190.65</v>
      </c>
      <c r="AW45" s="162">
        <v>53051.44</v>
      </c>
      <c r="AX45" s="162">
        <v>55694.080000000002</v>
      </c>
      <c r="AY45" s="161">
        <v>56702.53</v>
      </c>
      <c r="AZ45" s="161">
        <v>55255</v>
      </c>
      <c r="BA45" s="49">
        <v>12.8</v>
      </c>
      <c r="BB45" s="49">
        <v>11.5</v>
      </c>
      <c r="BC45" s="49">
        <v>12.2</v>
      </c>
      <c r="BD45" s="49">
        <v>12.8</v>
      </c>
      <c r="BE45" s="49">
        <v>12.2</v>
      </c>
      <c r="BF45" s="42">
        <v>15.2</v>
      </c>
      <c r="BG45" s="42">
        <v>15.7</v>
      </c>
      <c r="BH45" s="42">
        <v>16.7</v>
      </c>
      <c r="BI45" s="42">
        <v>14.9</v>
      </c>
      <c r="BJ45" s="42">
        <v>13.5</v>
      </c>
      <c r="BK45" s="36">
        <v>4681</v>
      </c>
      <c r="BL45" s="36">
        <v>4748</v>
      </c>
      <c r="BM45" s="36">
        <v>4706</v>
      </c>
      <c r="BN45" s="36">
        <v>4882</v>
      </c>
      <c r="BO45" s="40">
        <v>42.426831873531299</v>
      </c>
      <c r="BP45" s="40">
        <v>43.934288121314239</v>
      </c>
      <c r="BQ45" s="40">
        <v>44.007649808754778</v>
      </c>
      <c r="BR45" s="40">
        <v>42.605489553461695</v>
      </c>
      <c r="BS45" s="51">
        <v>8.6092715231788084</v>
      </c>
      <c r="BT45" s="51">
        <v>9.7935973041280544</v>
      </c>
      <c r="BU45" s="51">
        <v>11.240968975775605</v>
      </c>
      <c r="BV45" s="51">
        <v>10.221220811142974</v>
      </c>
      <c r="BW45" s="39">
        <v>17.04763939329203</v>
      </c>
      <c r="BX45" s="39">
        <v>17.186183656276327</v>
      </c>
      <c r="BY45" s="39">
        <v>16.808329791755206</v>
      </c>
      <c r="BZ45" s="39">
        <v>15.751741089717328</v>
      </c>
      <c r="CA45" s="40">
        <v>90.566037735849065</v>
      </c>
      <c r="CB45" s="40">
        <v>87.179487179487182</v>
      </c>
      <c r="CC45" s="40">
        <v>86.03</v>
      </c>
      <c r="CD45" s="40">
        <v>83.33</v>
      </c>
      <c r="CE45" s="40">
        <v>2.6954177897574128</v>
      </c>
      <c r="CF45" s="40">
        <v>3.2994923857868019</v>
      </c>
      <c r="CG45" s="40">
        <v>4.75</v>
      </c>
      <c r="CH45" s="40">
        <v>5.3</v>
      </c>
      <c r="CI45" s="105">
        <v>1691</v>
      </c>
      <c r="CJ45" s="105">
        <v>1678</v>
      </c>
      <c r="CK45" s="104">
        <v>1836</v>
      </c>
      <c r="CL45" s="104">
        <v>1839</v>
      </c>
      <c r="CM45" s="39">
        <v>13.577421815408085</v>
      </c>
      <c r="CN45" s="39">
        <v>17.033803674753834</v>
      </c>
      <c r="CO45" s="39">
        <v>14.432941065490649</v>
      </c>
      <c r="CP45" s="39">
        <v>14.327451209536052</v>
      </c>
      <c r="CQ45" s="104">
        <v>74</v>
      </c>
      <c r="CR45" s="104">
        <v>71</v>
      </c>
      <c r="CS45" s="104">
        <v>82</v>
      </c>
      <c r="CT45" s="104">
        <v>73</v>
      </c>
      <c r="CU45" s="39">
        <v>4.5</v>
      </c>
      <c r="CV45" s="39">
        <v>4.3</v>
      </c>
      <c r="CW45" s="39">
        <v>4.5999999999999996</v>
      </c>
      <c r="CX45" s="39">
        <v>4.0999999999999996</v>
      </c>
      <c r="CY45" s="36">
        <v>150</v>
      </c>
      <c r="CZ45" s="104">
        <v>119</v>
      </c>
      <c r="DA45" s="104">
        <v>123</v>
      </c>
      <c r="DB45" s="104">
        <v>96</v>
      </c>
      <c r="DC45" s="39">
        <v>10.6</v>
      </c>
      <c r="DD45" s="39">
        <v>8.6</v>
      </c>
      <c r="DE45" s="39">
        <v>7.3</v>
      </c>
      <c r="DF45" s="39">
        <v>5.4</v>
      </c>
      <c r="DG45" s="39">
        <v>80.3</v>
      </c>
      <c r="DH45" s="39">
        <v>82.2</v>
      </c>
      <c r="DI45" s="39">
        <v>85.1</v>
      </c>
      <c r="DJ45" s="39">
        <v>86.7</v>
      </c>
      <c r="DK45" s="39">
        <v>12.2</v>
      </c>
      <c r="DL45" s="39">
        <v>11.4</v>
      </c>
      <c r="DM45" s="39">
        <v>11.8</v>
      </c>
      <c r="DN45" s="39">
        <v>7.4</v>
      </c>
      <c r="DO45" s="39">
        <v>25.6</v>
      </c>
      <c r="DP45" s="39">
        <v>26.1</v>
      </c>
      <c r="DQ45" s="39">
        <v>33.200000000000003</v>
      </c>
      <c r="DR45" s="39">
        <v>32.1</v>
      </c>
      <c r="DS45" s="39">
        <v>25.7</v>
      </c>
      <c r="DT45" s="39">
        <v>22.4</v>
      </c>
      <c r="DU45" s="39">
        <v>20.5</v>
      </c>
      <c r="DV45" s="39">
        <v>15.5</v>
      </c>
      <c r="DW45" s="45">
        <v>257</v>
      </c>
      <c r="DX45" s="45">
        <v>31</v>
      </c>
      <c r="DY45" s="15">
        <v>1</v>
      </c>
      <c r="DZ45" s="45">
        <v>27</v>
      </c>
      <c r="EA45" s="45">
        <v>39</v>
      </c>
      <c r="EB45" s="45">
        <v>11</v>
      </c>
      <c r="EC45" s="45">
        <v>10</v>
      </c>
      <c r="ED45" s="45">
        <v>13</v>
      </c>
      <c r="EE45" s="45">
        <v>6</v>
      </c>
      <c r="EF45" s="104">
        <v>1185</v>
      </c>
      <c r="EG45" s="104">
        <v>1144</v>
      </c>
      <c r="EH45" s="104">
        <v>1079</v>
      </c>
      <c r="EI45" s="104">
        <v>1123</v>
      </c>
      <c r="EJ45" s="174">
        <v>211</v>
      </c>
      <c r="EK45" s="174">
        <v>3</v>
      </c>
      <c r="EL45" s="174"/>
      <c r="EM45" s="174">
        <v>1</v>
      </c>
      <c r="EN45" s="174">
        <v>1</v>
      </c>
      <c r="EO45" s="39">
        <v>932.15300000000002</v>
      </c>
      <c r="EP45" s="39">
        <v>934.94600000000003</v>
      </c>
      <c r="EQ45" s="39">
        <v>834.59</v>
      </c>
      <c r="ER45" s="39">
        <v>874.84900000000005</v>
      </c>
      <c r="ES45" s="39">
        <v>737.10900000000004</v>
      </c>
      <c r="ET45" s="39">
        <v>710.125</v>
      </c>
      <c r="EU45" s="39">
        <v>668.34199999999998</v>
      </c>
      <c r="EV45" s="39">
        <v>660.83699999999999</v>
      </c>
      <c r="EW45" s="39">
        <v>994.18600000000004</v>
      </c>
      <c r="EX45" s="39">
        <v>846.9</v>
      </c>
      <c r="EY45" s="39">
        <v>795.73199999999997</v>
      </c>
      <c r="EZ45" s="39">
        <v>809.74699999999996</v>
      </c>
      <c r="FA45" s="39">
        <v>562.01099999999997</v>
      </c>
      <c r="FB45" s="39">
        <v>608.05899999999997</v>
      </c>
      <c r="FC45" s="39">
        <v>573.89200000000005</v>
      </c>
      <c r="FD45" s="39">
        <v>537.61699999999996</v>
      </c>
      <c r="FE45" s="44">
        <v>256</v>
      </c>
      <c r="FF45" s="44">
        <v>276</v>
      </c>
      <c r="FG45" s="44">
        <v>252</v>
      </c>
      <c r="FH45" s="44">
        <v>266</v>
      </c>
      <c r="FI45" s="39">
        <v>173.05699999999999</v>
      </c>
      <c r="FJ45" s="39">
        <v>185.60900000000001</v>
      </c>
      <c r="FK45" s="39">
        <v>166.88900000000001</v>
      </c>
      <c r="FL45" s="39">
        <v>172.06399999999999</v>
      </c>
      <c r="FM45" s="45">
        <v>381</v>
      </c>
      <c r="FN45" s="45">
        <v>274</v>
      </c>
      <c r="FO45" s="36">
        <v>230</v>
      </c>
      <c r="FP45" s="45">
        <v>217</v>
      </c>
      <c r="FQ45" s="39">
        <v>227.16499999999999</v>
      </c>
      <c r="FR45" s="39">
        <v>161.471</v>
      </c>
      <c r="FS45" s="39">
        <v>135.67500000000001</v>
      </c>
      <c r="FT45" s="39">
        <v>118.87</v>
      </c>
      <c r="FU45" s="43">
        <v>126</v>
      </c>
      <c r="FV45" s="43">
        <v>86</v>
      </c>
      <c r="FW45" s="43">
        <v>70</v>
      </c>
      <c r="FX45" s="45">
        <v>48</v>
      </c>
      <c r="FY45" s="39">
        <v>67.852999999999994</v>
      </c>
      <c r="FZ45" s="39">
        <v>47.984999999999999</v>
      </c>
      <c r="GA45" s="39">
        <v>41.784999999999997</v>
      </c>
      <c r="GB45" s="39">
        <v>27.262</v>
      </c>
      <c r="GC45" s="150">
        <v>52</v>
      </c>
      <c r="GD45" s="150">
        <v>57</v>
      </c>
      <c r="GE45" s="150">
        <v>53</v>
      </c>
      <c r="GF45" s="150">
        <v>58</v>
      </c>
      <c r="GG45" s="182">
        <v>37.509</v>
      </c>
      <c r="GH45" s="182">
        <v>39.563000000000002</v>
      </c>
      <c r="GI45" s="182">
        <v>37.152000000000001</v>
      </c>
      <c r="GJ45" s="182">
        <v>38.002000000000002</v>
      </c>
      <c r="GK45" s="182"/>
      <c r="GL45" s="114"/>
      <c r="GM45" s="114"/>
      <c r="GN45" s="114"/>
      <c r="GP45" s="114"/>
      <c r="GQ45" s="114"/>
      <c r="GR45" s="114"/>
      <c r="GS45" s="114"/>
      <c r="GU45" s="114"/>
      <c r="GV45" s="114"/>
      <c r="GW45" s="114"/>
      <c r="GX45" s="114"/>
      <c r="HE45" s="113"/>
      <c r="HF45" s="113"/>
      <c r="HG45" s="113"/>
      <c r="HH45" s="113"/>
      <c r="HI45" s="113"/>
      <c r="HJ45" s="115"/>
      <c r="HK45" s="115"/>
      <c r="HL45" s="114"/>
      <c r="HV45" s="116"/>
    </row>
    <row r="46" spans="1:230" x14ac:dyDescent="0.2">
      <c r="A46" s="128">
        <v>43</v>
      </c>
      <c r="B46" s="129" t="s">
        <v>89</v>
      </c>
      <c r="C46" s="117">
        <v>35918</v>
      </c>
      <c r="D46" s="117">
        <v>35882</v>
      </c>
      <c r="E46" s="117">
        <v>35932</v>
      </c>
      <c r="F46" s="117">
        <v>35842</v>
      </c>
      <c r="G46" s="151">
        <v>35884</v>
      </c>
      <c r="H46" s="155">
        <v>32934</v>
      </c>
      <c r="I46" s="155">
        <v>326</v>
      </c>
      <c r="J46" s="155">
        <v>137</v>
      </c>
      <c r="K46" s="155">
        <v>292</v>
      </c>
      <c r="L46" s="155">
        <v>2195</v>
      </c>
      <c r="M46" s="40">
        <v>14590</v>
      </c>
      <c r="N46" s="40">
        <v>14585</v>
      </c>
      <c r="O46" s="40">
        <v>14600</v>
      </c>
      <c r="P46" s="106">
        <v>14637</v>
      </c>
      <c r="Q46" s="106">
        <v>14675</v>
      </c>
      <c r="R46" s="51">
        <v>26.8</v>
      </c>
      <c r="S46" s="51">
        <v>27.7</v>
      </c>
      <c r="T46" s="51">
        <v>28.396377197655831</v>
      </c>
      <c r="U46" s="51">
        <v>29.184894205874475</v>
      </c>
      <c r="V46" s="51">
        <v>29.390249342075919</v>
      </c>
      <c r="W46" s="38">
        <v>31.5</v>
      </c>
      <c r="X46" s="38">
        <v>31.2</v>
      </c>
      <c r="Y46" s="38">
        <v>31.131237790800924</v>
      </c>
      <c r="Z46" s="38">
        <v>30.809749129542009</v>
      </c>
      <c r="AA46" s="38">
        <v>30.670413488558811</v>
      </c>
      <c r="AB46" s="51">
        <v>58.3</v>
      </c>
      <c r="AC46" s="51">
        <v>58.8</v>
      </c>
      <c r="AD46" s="51">
        <v>59.527614988456754</v>
      </c>
      <c r="AE46" s="51">
        <v>59.994643335416477</v>
      </c>
      <c r="AF46" s="51">
        <v>60.060662830634726</v>
      </c>
      <c r="AG46" s="39">
        <v>5.7</v>
      </c>
      <c r="AH46" s="39">
        <v>4.5385702746365109</v>
      </c>
      <c r="AI46" s="39">
        <v>3.9434816857030328</v>
      </c>
      <c r="AJ46" s="39">
        <v>4.4679330065359482</v>
      </c>
      <c r="AK46" s="39">
        <v>5.0272308336824469</v>
      </c>
      <c r="AL46" s="43">
        <v>1188</v>
      </c>
      <c r="AM46" s="43">
        <v>1049.5833333333333</v>
      </c>
      <c r="AN46" s="43">
        <v>946.58333333333337</v>
      </c>
      <c r="AO46" s="43">
        <v>863.25</v>
      </c>
      <c r="AP46" s="43">
        <v>842.5</v>
      </c>
      <c r="AQ46" s="190">
        <v>42492.560524779714</v>
      </c>
      <c r="AR46" s="190">
        <v>44451.253866949082</v>
      </c>
      <c r="AS46" s="190">
        <v>44678.711545421647</v>
      </c>
      <c r="AT46" s="190">
        <v>44865.290720383906</v>
      </c>
      <c r="AU46" s="190">
        <v>49276.23</v>
      </c>
      <c r="AV46" s="162">
        <v>56942.55</v>
      </c>
      <c r="AW46" s="162">
        <v>57169.840000000004</v>
      </c>
      <c r="AX46" s="162">
        <v>62518.560000000005</v>
      </c>
      <c r="AY46" s="161">
        <v>62365.47</v>
      </c>
      <c r="AZ46" s="161">
        <v>61822</v>
      </c>
      <c r="BA46" s="49">
        <v>8.8000000000000007</v>
      </c>
      <c r="BB46" s="49">
        <v>7.9</v>
      </c>
      <c r="BC46" s="49">
        <v>8.6</v>
      </c>
      <c r="BD46" s="49">
        <v>7.4</v>
      </c>
      <c r="BE46" s="49">
        <v>7.7</v>
      </c>
      <c r="BF46" s="42">
        <v>11.8</v>
      </c>
      <c r="BG46" s="42">
        <v>11.2</v>
      </c>
      <c r="BH46" s="42">
        <v>11</v>
      </c>
      <c r="BI46" s="42">
        <v>9.5</v>
      </c>
      <c r="BJ46" s="42">
        <v>8.6</v>
      </c>
      <c r="BK46" s="36">
        <v>5267</v>
      </c>
      <c r="BL46" s="36">
        <v>5244</v>
      </c>
      <c r="BM46" s="36">
        <v>5184</v>
      </c>
      <c r="BN46" s="36">
        <v>5604</v>
      </c>
      <c r="BO46" s="40">
        <v>32.276438200113915</v>
      </c>
      <c r="BP46" s="40">
        <v>33.161708619374522</v>
      </c>
      <c r="BQ46" s="40">
        <v>31.712962962962962</v>
      </c>
      <c r="BR46" s="40">
        <v>31.977159172019988</v>
      </c>
      <c r="BS46" s="51">
        <v>3.8731725840136701</v>
      </c>
      <c r="BT46" s="51">
        <v>4.2715484363081613</v>
      </c>
      <c r="BU46" s="51">
        <v>4.3402777777777777</v>
      </c>
      <c r="BV46" s="51">
        <v>4.58600999</v>
      </c>
      <c r="BW46" s="39">
        <v>14.714258591228404</v>
      </c>
      <c r="BX46" s="39">
        <v>14.778794813119756</v>
      </c>
      <c r="BY46" s="39">
        <v>13.734567901234568</v>
      </c>
      <c r="BZ46" s="39">
        <v>15.83</v>
      </c>
      <c r="CA46" s="40">
        <v>88.662131519274382</v>
      </c>
      <c r="CB46" s="40">
        <v>92.248062015503876</v>
      </c>
      <c r="CC46" s="40">
        <v>88.28</v>
      </c>
      <c r="CD46" s="40">
        <v>83.78</v>
      </c>
      <c r="CE46" s="40">
        <v>5.2154195011337867</v>
      </c>
      <c r="CF46" s="40">
        <v>3.116883116883117</v>
      </c>
      <c r="CG46" s="40">
        <v>4.99</v>
      </c>
      <c r="CH46" s="40">
        <v>5.41</v>
      </c>
      <c r="CI46" s="105">
        <v>2402</v>
      </c>
      <c r="CJ46" s="105">
        <v>2639</v>
      </c>
      <c r="CK46" s="104">
        <v>2251</v>
      </c>
      <c r="CL46" s="104">
        <v>2053</v>
      </c>
      <c r="CM46" s="39">
        <v>13.801504260539305</v>
      </c>
      <c r="CN46" s="39">
        <v>17.912777872051585</v>
      </c>
      <c r="CO46" s="39">
        <v>12.284435712726479</v>
      </c>
      <c r="CP46" s="39">
        <v>11.440002674720548</v>
      </c>
      <c r="CQ46" s="104">
        <v>78</v>
      </c>
      <c r="CR46" s="104">
        <v>98</v>
      </c>
      <c r="CS46" s="104">
        <v>99</v>
      </c>
      <c r="CT46" s="104">
        <v>84</v>
      </c>
      <c r="CU46" s="39">
        <v>3.3</v>
      </c>
      <c r="CV46" s="39">
        <v>3.8</v>
      </c>
      <c r="CW46" s="39">
        <v>4.5</v>
      </c>
      <c r="CX46" s="39">
        <v>4.2</v>
      </c>
      <c r="CY46" s="36">
        <v>160</v>
      </c>
      <c r="CZ46" s="104">
        <v>189</v>
      </c>
      <c r="DA46" s="104">
        <v>161</v>
      </c>
      <c r="DB46" s="104">
        <v>146</v>
      </c>
      <c r="DC46" s="39">
        <v>7.1</v>
      </c>
      <c r="DD46" s="39">
        <v>8</v>
      </c>
      <c r="DE46" s="39">
        <v>7.8</v>
      </c>
      <c r="DF46" s="39">
        <v>7.4</v>
      </c>
      <c r="DG46" s="39">
        <v>87.5</v>
      </c>
      <c r="DH46" s="39">
        <v>89.2</v>
      </c>
      <c r="DI46" s="39">
        <v>88.9</v>
      </c>
      <c r="DJ46" s="39">
        <v>88</v>
      </c>
      <c r="DK46" s="39">
        <v>10.5</v>
      </c>
      <c r="DL46" s="39">
        <v>11.6</v>
      </c>
      <c r="DM46" s="39">
        <v>12.3</v>
      </c>
      <c r="DN46" s="39">
        <v>13.7</v>
      </c>
      <c r="DO46" s="39">
        <v>23.8</v>
      </c>
      <c r="DP46" s="39">
        <v>27.7</v>
      </c>
      <c r="DQ46" s="39">
        <v>30.4</v>
      </c>
      <c r="DR46" s="39">
        <v>35.200000000000003</v>
      </c>
      <c r="DS46" s="39">
        <v>34</v>
      </c>
      <c r="DT46" s="39">
        <v>34.4</v>
      </c>
      <c r="DU46" s="39">
        <v>25.7</v>
      </c>
      <c r="DV46" s="39">
        <v>14.2</v>
      </c>
      <c r="DW46" s="45">
        <v>319</v>
      </c>
      <c r="DX46" s="45">
        <v>1</v>
      </c>
      <c r="DY46" s="15">
        <v>1</v>
      </c>
      <c r="DZ46" s="45">
        <v>5</v>
      </c>
      <c r="EA46" s="45">
        <v>31</v>
      </c>
      <c r="EB46" s="45">
        <v>20</v>
      </c>
      <c r="EC46" s="45">
        <v>10</v>
      </c>
      <c r="ED46" s="45">
        <v>6</v>
      </c>
      <c r="EE46" s="45">
        <v>12</v>
      </c>
      <c r="EF46" s="104">
        <v>1459</v>
      </c>
      <c r="EG46" s="104">
        <v>1462</v>
      </c>
      <c r="EH46" s="104">
        <v>1499</v>
      </c>
      <c r="EI46" s="104">
        <v>1716</v>
      </c>
      <c r="EJ46" s="174">
        <v>350</v>
      </c>
      <c r="EK46" s="174">
        <v>2</v>
      </c>
      <c r="EL46" s="174"/>
      <c r="EM46" s="174"/>
      <c r="EN46" s="174">
        <v>2</v>
      </c>
      <c r="EO46" s="39">
        <v>836.15099999999995</v>
      </c>
      <c r="EP46" s="39">
        <v>798.12199999999996</v>
      </c>
      <c r="EQ46" s="39">
        <v>817.98599999999999</v>
      </c>
      <c r="ER46" s="39">
        <v>955.13699999999994</v>
      </c>
      <c r="ES46" s="39">
        <v>723.529</v>
      </c>
      <c r="ET46" s="39">
        <v>642.54300000000001</v>
      </c>
      <c r="EU46" s="39">
        <v>627.15300000000002</v>
      </c>
      <c r="EV46" s="39">
        <v>646.41700000000003</v>
      </c>
      <c r="EW46" s="39">
        <v>900.62699999999995</v>
      </c>
      <c r="EX46" s="39">
        <v>811.81299999999999</v>
      </c>
      <c r="EY46" s="39">
        <v>768.31399999999996</v>
      </c>
      <c r="EZ46" s="39">
        <v>734.21699999999998</v>
      </c>
      <c r="FA46" s="39">
        <v>589.38699999999994</v>
      </c>
      <c r="FB46" s="39">
        <v>518.23299999999995</v>
      </c>
      <c r="FC46" s="39">
        <v>518.625</v>
      </c>
      <c r="FD46" s="39">
        <v>566.37900000000002</v>
      </c>
      <c r="FE46" s="44">
        <v>303</v>
      </c>
      <c r="FF46" s="44">
        <v>314</v>
      </c>
      <c r="FG46" s="44">
        <v>381</v>
      </c>
      <c r="FH46" s="44">
        <v>368</v>
      </c>
      <c r="FI46" s="39">
        <v>158.18199999999999</v>
      </c>
      <c r="FJ46" s="39">
        <v>150.04599999999999</v>
      </c>
      <c r="FK46" s="39">
        <v>168.352</v>
      </c>
      <c r="FL46" s="39">
        <v>150.06399999999999</v>
      </c>
      <c r="FM46" s="45">
        <v>394</v>
      </c>
      <c r="FN46" s="45">
        <v>343</v>
      </c>
      <c r="FO46" s="36">
        <v>322</v>
      </c>
      <c r="FP46" s="45">
        <v>379</v>
      </c>
      <c r="FQ46" s="39">
        <v>191.35400000000001</v>
      </c>
      <c r="FR46" s="39">
        <v>142.423</v>
      </c>
      <c r="FS46" s="39">
        <v>127.78</v>
      </c>
      <c r="FT46" s="39">
        <v>134.83000000000001</v>
      </c>
      <c r="FU46" s="43">
        <v>163</v>
      </c>
      <c r="FV46" s="43">
        <v>107</v>
      </c>
      <c r="FW46" s="43">
        <v>97</v>
      </c>
      <c r="FX46" s="45">
        <v>108</v>
      </c>
      <c r="FY46" s="39">
        <v>75.454999999999998</v>
      </c>
      <c r="FZ46" s="39">
        <v>46.177999999999997</v>
      </c>
      <c r="GA46" s="39">
        <v>37.819000000000003</v>
      </c>
      <c r="GB46" s="39">
        <v>38.052</v>
      </c>
      <c r="GC46" s="150">
        <v>67</v>
      </c>
      <c r="GD46" s="150">
        <v>90</v>
      </c>
      <c r="GE46" s="150">
        <v>81</v>
      </c>
      <c r="GF46" s="150">
        <v>85</v>
      </c>
      <c r="GG46" s="182">
        <v>36.283999999999999</v>
      </c>
      <c r="GH46" s="182">
        <v>42.112000000000002</v>
      </c>
      <c r="GI46" s="182">
        <v>36.496000000000002</v>
      </c>
      <c r="GJ46" s="182">
        <v>35.963000000000001</v>
      </c>
      <c r="GK46" s="182"/>
      <c r="GL46" s="114"/>
      <c r="GM46" s="114"/>
      <c r="GN46" s="114"/>
      <c r="GP46" s="114"/>
      <c r="GQ46" s="114"/>
      <c r="GR46" s="114"/>
      <c r="GS46" s="114"/>
      <c r="GU46" s="114"/>
      <c r="GV46" s="114"/>
      <c r="GW46" s="114"/>
      <c r="GX46" s="114"/>
      <c r="HE46" s="113"/>
      <c r="HF46" s="113"/>
      <c r="HG46" s="113"/>
      <c r="HH46" s="113"/>
      <c r="HI46" s="113"/>
      <c r="HJ46" s="115"/>
      <c r="HK46" s="115"/>
      <c r="HL46" s="114"/>
      <c r="HV46" s="116"/>
    </row>
    <row r="47" spans="1:230" x14ac:dyDescent="0.2">
      <c r="A47" s="128">
        <v>44</v>
      </c>
      <c r="B47" s="129" t="s">
        <v>90</v>
      </c>
      <c r="C47" s="117">
        <v>5532</v>
      </c>
      <c r="D47" s="117">
        <v>5505</v>
      </c>
      <c r="E47" s="117">
        <v>5457</v>
      </c>
      <c r="F47" s="117">
        <v>5465</v>
      </c>
      <c r="G47" s="151">
        <v>5596</v>
      </c>
      <c r="H47" s="155">
        <v>2744</v>
      </c>
      <c r="I47" s="155">
        <v>74</v>
      </c>
      <c r="J47" s="155">
        <v>2524</v>
      </c>
      <c r="K47" s="155">
        <v>9</v>
      </c>
      <c r="L47" s="155">
        <v>245</v>
      </c>
      <c r="M47" s="40">
        <v>2055</v>
      </c>
      <c r="N47" s="40">
        <v>2044</v>
      </c>
      <c r="O47" s="40">
        <v>2012</v>
      </c>
      <c r="P47" s="106">
        <v>1999</v>
      </c>
      <c r="Q47" s="106">
        <v>2024</v>
      </c>
      <c r="R47" s="51">
        <v>29.5</v>
      </c>
      <c r="S47" s="51">
        <v>29.6</v>
      </c>
      <c r="T47" s="51">
        <v>30.947712418300654</v>
      </c>
      <c r="U47" s="51">
        <v>31.116934163118241</v>
      </c>
      <c r="V47" s="51">
        <v>30.76923076923077</v>
      </c>
      <c r="W47" s="38">
        <v>45.4</v>
      </c>
      <c r="X47" s="38">
        <v>46.7</v>
      </c>
      <c r="Y47" s="38">
        <v>47.385620915032675</v>
      </c>
      <c r="Z47" s="38">
        <v>47.887323943661968</v>
      </c>
      <c r="AA47" s="38">
        <v>47.845515480370253</v>
      </c>
      <c r="AB47" s="51">
        <v>74.8</v>
      </c>
      <c r="AC47" s="51">
        <v>76.400000000000006</v>
      </c>
      <c r="AD47" s="51">
        <v>78.333333333333329</v>
      </c>
      <c r="AE47" s="51">
        <v>79.004258106780213</v>
      </c>
      <c r="AF47" s="51">
        <v>78.614746249601026</v>
      </c>
      <c r="AG47" s="39">
        <v>5.7</v>
      </c>
      <c r="AH47" s="39">
        <v>5.5602716468590829</v>
      </c>
      <c r="AI47" s="39">
        <v>5.3564070869386073</v>
      </c>
      <c r="AJ47" s="39">
        <v>5.7418273260687345</v>
      </c>
      <c r="AK47" s="39">
        <v>7.0159698546563787</v>
      </c>
      <c r="AL47" s="43">
        <v>621.75</v>
      </c>
      <c r="AM47" s="43">
        <v>284.58333333333331</v>
      </c>
      <c r="AN47" s="43">
        <v>213.25</v>
      </c>
      <c r="AO47" s="43">
        <v>192.5</v>
      </c>
      <c r="AP47" s="242">
        <v>165</v>
      </c>
      <c r="AQ47" s="190">
        <v>36472.655964976293</v>
      </c>
      <c r="AR47" s="190">
        <v>35600.595605592884</v>
      </c>
      <c r="AS47" s="190">
        <v>35489.473296500917</v>
      </c>
      <c r="AT47" s="190">
        <v>36183.061299176581</v>
      </c>
      <c r="AU47" s="190">
        <v>35233.21</v>
      </c>
      <c r="AV47" s="162">
        <v>39641.700000000004</v>
      </c>
      <c r="AW47" s="162">
        <v>41294.239999999998</v>
      </c>
      <c r="AX47" s="162">
        <v>41523.040000000001</v>
      </c>
      <c r="AY47" s="161">
        <v>42074.47</v>
      </c>
      <c r="AZ47" s="161">
        <v>43591</v>
      </c>
      <c r="BA47" s="49">
        <v>24.3</v>
      </c>
      <c r="BB47" s="49">
        <v>19.600000000000001</v>
      </c>
      <c r="BC47" s="49">
        <v>21.5</v>
      </c>
      <c r="BD47" s="49">
        <v>17.5</v>
      </c>
      <c r="BE47" s="49">
        <v>21</v>
      </c>
      <c r="BF47" s="42">
        <v>38.299999999999997</v>
      </c>
      <c r="BG47" s="42">
        <v>32.6</v>
      </c>
      <c r="BH47" s="42">
        <v>34.299999999999997</v>
      </c>
      <c r="BI47" s="42">
        <v>29.8</v>
      </c>
      <c r="BJ47" s="42">
        <v>33</v>
      </c>
      <c r="BK47" s="36">
        <v>1291</v>
      </c>
      <c r="BL47" s="36">
        <v>1284</v>
      </c>
      <c r="BM47" s="36">
        <v>1320</v>
      </c>
      <c r="BN47" s="36">
        <v>1104</v>
      </c>
      <c r="BO47" s="40">
        <v>76.065065840433775</v>
      </c>
      <c r="BP47" s="40">
        <v>78.271028037383175</v>
      </c>
      <c r="BQ47" s="40">
        <v>74.545454545454547</v>
      </c>
      <c r="BR47" s="40">
        <v>76.086956499999999</v>
      </c>
      <c r="BS47" s="51">
        <v>0</v>
      </c>
      <c r="BT47" s="51" t="s">
        <v>481</v>
      </c>
      <c r="BU47" s="51" t="s">
        <v>481</v>
      </c>
      <c r="BV47" s="51">
        <v>0</v>
      </c>
      <c r="BW47" s="39">
        <v>18.280402788536019</v>
      </c>
      <c r="BX47" s="39">
        <v>17.056074766355142</v>
      </c>
      <c r="BY47" s="39">
        <v>17.121212121212121</v>
      </c>
      <c r="BZ47" s="39">
        <v>18.75</v>
      </c>
      <c r="CA47" s="40">
        <v>55.357142857142861</v>
      </c>
      <c r="CB47" s="40">
        <v>66.666666666666657</v>
      </c>
      <c r="CC47" s="40">
        <v>50.53</v>
      </c>
      <c r="CD47" s="40">
        <v>59.34</v>
      </c>
      <c r="CE47" s="40">
        <v>13.392857142857142</v>
      </c>
      <c r="CF47" s="40">
        <v>19.19191919191919</v>
      </c>
      <c r="CG47" s="40">
        <v>20</v>
      </c>
      <c r="CH47" s="40">
        <v>18.68</v>
      </c>
      <c r="CI47" s="105">
        <v>373</v>
      </c>
      <c r="CJ47" s="105">
        <v>444</v>
      </c>
      <c r="CK47" s="104">
        <v>515</v>
      </c>
      <c r="CL47" s="104">
        <v>515</v>
      </c>
      <c r="CM47" s="39">
        <v>14.510231074457327</v>
      </c>
      <c r="CN47" s="39">
        <v>21.77004167688159</v>
      </c>
      <c r="CO47" s="39">
        <v>19.391520445816703</v>
      </c>
      <c r="CP47" s="39">
        <v>18.689892941389949</v>
      </c>
      <c r="CQ47" s="104">
        <v>9</v>
      </c>
      <c r="CR47" s="104">
        <v>15</v>
      </c>
      <c r="CS47" s="104">
        <v>25</v>
      </c>
      <c r="CT47" s="104">
        <v>24</v>
      </c>
      <c r="CU47" s="39">
        <v>2.5</v>
      </c>
      <c r="CV47" s="39">
        <v>3.5</v>
      </c>
      <c r="CW47" s="39">
        <v>5.2</v>
      </c>
      <c r="CX47" s="39">
        <v>4.9000000000000004</v>
      </c>
      <c r="CY47" s="36">
        <v>22</v>
      </c>
      <c r="CZ47" s="104">
        <v>32</v>
      </c>
      <c r="DA47" s="104">
        <v>56</v>
      </c>
      <c r="DB47" s="104">
        <v>52</v>
      </c>
      <c r="DC47" s="39">
        <v>6.8</v>
      </c>
      <c r="DD47" s="39">
        <v>8.9</v>
      </c>
      <c r="DE47" s="39">
        <v>12.5</v>
      </c>
      <c r="DF47" s="39">
        <v>10.8</v>
      </c>
      <c r="DG47" s="39">
        <v>73.2</v>
      </c>
      <c r="DH47" s="39">
        <v>72</v>
      </c>
      <c r="DI47" s="39">
        <v>61.9</v>
      </c>
      <c r="DJ47" s="39">
        <v>52.8</v>
      </c>
      <c r="DK47" s="39">
        <v>39.1</v>
      </c>
      <c r="DL47" s="39">
        <v>37.5</v>
      </c>
      <c r="DM47" s="39">
        <v>48.3</v>
      </c>
      <c r="DN47" s="39">
        <v>48.5</v>
      </c>
      <c r="DO47" s="39">
        <v>61.1</v>
      </c>
      <c r="DP47" s="39">
        <v>66.400000000000006</v>
      </c>
      <c r="DQ47" s="39">
        <v>79</v>
      </c>
      <c r="DR47" s="39">
        <v>77.8</v>
      </c>
      <c r="DS47" s="39">
        <v>76.400000000000006</v>
      </c>
      <c r="DT47" s="39">
        <v>89.4</v>
      </c>
      <c r="DU47" s="39">
        <v>101.1</v>
      </c>
      <c r="DV47" s="39">
        <v>62.7</v>
      </c>
      <c r="DW47" s="45">
        <v>28</v>
      </c>
      <c r="DX47" s="45">
        <v>1</v>
      </c>
      <c r="DY47" s="15">
        <v>62</v>
      </c>
      <c r="DZ47" s="45">
        <v>0</v>
      </c>
      <c r="EA47" s="45">
        <v>7</v>
      </c>
      <c r="EB47" s="45">
        <v>4</v>
      </c>
      <c r="EC47" s="45">
        <v>2</v>
      </c>
      <c r="ED47" s="45">
        <v>7</v>
      </c>
      <c r="EE47" s="45">
        <v>6</v>
      </c>
      <c r="EF47" s="104">
        <v>274</v>
      </c>
      <c r="EG47" s="104">
        <v>272</v>
      </c>
      <c r="EH47" s="104">
        <v>296</v>
      </c>
      <c r="EI47" s="104">
        <v>320</v>
      </c>
      <c r="EJ47" s="174">
        <v>32</v>
      </c>
      <c r="EK47" s="174"/>
      <c r="EL47" s="174">
        <v>47</v>
      </c>
      <c r="EM47" s="174"/>
      <c r="EN47" s="174"/>
      <c r="EO47" s="39">
        <v>1055.877</v>
      </c>
      <c r="EP47" s="39">
        <v>1063.9549999999999</v>
      </c>
      <c r="EQ47" s="39">
        <v>1093.663</v>
      </c>
      <c r="ER47" s="39">
        <v>1172.806</v>
      </c>
      <c r="ES47" s="39">
        <v>820.97799999999995</v>
      </c>
      <c r="ET47" s="39">
        <v>762.42200000000003</v>
      </c>
      <c r="EU47" s="39">
        <v>919.245</v>
      </c>
      <c r="EV47" s="39">
        <v>972.73699999999997</v>
      </c>
      <c r="EW47" s="39">
        <v>1086.1010000000001</v>
      </c>
      <c r="EX47" s="39">
        <v>1048.105</v>
      </c>
      <c r="EY47" s="39">
        <v>1197.508</v>
      </c>
      <c r="EZ47" s="39">
        <v>1264.673</v>
      </c>
      <c r="FA47" s="39">
        <v>612.19799999999998</v>
      </c>
      <c r="FB47" s="39">
        <v>565.34900000000005</v>
      </c>
      <c r="FC47" s="39">
        <v>674.40300000000002</v>
      </c>
      <c r="FD47" s="39">
        <v>716.28599999999994</v>
      </c>
      <c r="FE47" s="44">
        <v>75</v>
      </c>
      <c r="FF47" s="44">
        <v>58</v>
      </c>
      <c r="FG47" s="44">
        <v>77</v>
      </c>
      <c r="FH47" s="44">
        <v>75</v>
      </c>
      <c r="FI47" s="39">
        <v>230.12299999999999</v>
      </c>
      <c r="FJ47" s="39">
        <v>170.39099999999999</v>
      </c>
      <c r="FK47" s="39">
        <v>229.119</v>
      </c>
      <c r="FL47" s="39">
        <v>207.86099999999999</v>
      </c>
      <c r="FM47" s="45">
        <v>79</v>
      </c>
      <c r="FN47" s="45">
        <v>69</v>
      </c>
      <c r="FO47" s="36">
        <v>56</v>
      </c>
      <c r="FP47" s="45">
        <v>73</v>
      </c>
      <c r="FQ47" s="39">
        <v>216.87299999999999</v>
      </c>
      <c r="FR47" s="39">
        <v>174.47</v>
      </c>
      <c r="FS47" s="39">
        <v>168.36</v>
      </c>
      <c r="FT47" s="39">
        <v>207.86099999999999</v>
      </c>
      <c r="FU47" s="43">
        <v>7</v>
      </c>
      <c r="FV47" s="43">
        <v>11</v>
      </c>
      <c r="FW47" s="43">
        <v>12</v>
      </c>
      <c r="FX47" s="45">
        <v>5</v>
      </c>
      <c r="FY47" s="39">
        <v>17.553999999999998</v>
      </c>
      <c r="FZ47" s="39">
        <v>31.58</v>
      </c>
      <c r="GA47" s="39">
        <v>33.761000000000003</v>
      </c>
      <c r="GB47" s="39">
        <v>13.271000000000001</v>
      </c>
      <c r="GC47" s="150">
        <v>13</v>
      </c>
      <c r="GD47" s="150">
        <v>14</v>
      </c>
      <c r="GE47" s="150">
        <v>19</v>
      </c>
      <c r="GF47" s="150">
        <v>31</v>
      </c>
      <c r="GG47" s="182">
        <v>50.128999999999998</v>
      </c>
      <c r="GH47" s="182">
        <v>56.262</v>
      </c>
      <c r="GI47" s="182">
        <v>76.206999999999994</v>
      </c>
      <c r="GJ47" s="182">
        <v>134.803</v>
      </c>
      <c r="GK47" s="182"/>
      <c r="GL47" s="114"/>
      <c r="GM47" s="114"/>
      <c r="GN47" s="114"/>
      <c r="GP47" s="114"/>
      <c r="GQ47" s="114"/>
      <c r="GR47" s="114"/>
      <c r="GS47" s="114"/>
      <c r="GU47" s="114"/>
      <c r="GV47" s="114"/>
      <c r="GW47" s="114"/>
      <c r="GX47" s="114"/>
      <c r="HE47" s="113"/>
      <c r="HF47" s="113"/>
      <c r="HG47" s="113"/>
      <c r="HH47" s="113"/>
      <c r="HI47" s="113"/>
      <c r="HJ47" s="115"/>
      <c r="HK47" s="115"/>
      <c r="HL47" s="114"/>
      <c r="HV47" s="116"/>
    </row>
    <row r="48" spans="1:230" x14ac:dyDescent="0.2">
      <c r="A48" s="128">
        <v>45</v>
      </c>
      <c r="B48" s="129" t="s">
        <v>91</v>
      </c>
      <c r="C48" s="117">
        <v>9425</v>
      </c>
      <c r="D48" s="117">
        <v>9417</v>
      </c>
      <c r="E48" s="117">
        <v>9423</v>
      </c>
      <c r="F48" s="117">
        <v>9324</v>
      </c>
      <c r="G48" s="151">
        <v>9356</v>
      </c>
      <c r="H48" s="155">
        <v>8797</v>
      </c>
      <c r="I48" s="155">
        <v>70</v>
      </c>
      <c r="J48" s="155">
        <v>48</v>
      </c>
      <c r="K48" s="155">
        <v>28</v>
      </c>
      <c r="L48" s="155">
        <v>413</v>
      </c>
      <c r="M48" s="40">
        <v>3982</v>
      </c>
      <c r="N48" s="40">
        <v>3986</v>
      </c>
      <c r="O48" s="40">
        <v>3990</v>
      </c>
      <c r="P48" s="106">
        <v>3948</v>
      </c>
      <c r="Q48" s="106">
        <v>3962</v>
      </c>
      <c r="R48" s="51">
        <v>32.4</v>
      </c>
      <c r="S48" s="51">
        <v>32.700000000000003</v>
      </c>
      <c r="T48" s="51">
        <v>32.822833275321962</v>
      </c>
      <c r="U48" s="51">
        <v>33.368644067796609</v>
      </c>
      <c r="V48" s="51">
        <v>34.562211981566819</v>
      </c>
      <c r="W48" s="38">
        <v>30.3</v>
      </c>
      <c r="X48" s="38">
        <v>31</v>
      </c>
      <c r="Y48" s="38">
        <v>31.169509223807868</v>
      </c>
      <c r="Z48" s="38">
        <v>31.25</v>
      </c>
      <c r="AA48" s="38">
        <v>31.265508684863523</v>
      </c>
      <c r="AB48" s="51">
        <v>62.7</v>
      </c>
      <c r="AC48" s="51">
        <v>63.8</v>
      </c>
      <c r="AD48" s="51">
        <v>63.992342499129826</v>
      </c>
      <c r="AE48" s="51">
        <v>64.618644067796609</v>
      </c>
      <c r="AF48" s="51">
        <v>65.827720666430338</v>
      </c>
      <c r="AG48" s="39">
        <v>7.3</v>
      </c>
      <c r="AH48" s="39">
        <v>6.564668208503825</v>
      </c>
      <c r="AI48" s="39">
        <v>6.8666551066412342</v>
      </c>
      <c r="AJ48" s="39">
        <v>7.3671066714234748</v>
      </c>
      <c r="AK48" s="39">
        <v>3.731486824389306</v>
      </c>
      <c r="AL48" s="43">
        <v>269.91666666666669</v>
      </c>
      <c r="AM48" s="43">
        <v>238.33333333333334</v>
      </c>
      <c r="AN48" s="43">
        <v>219.08333333333334</v>
      </c>
      <c r="AO48" s="43">
        <v>221.41666666666666</v>
      </c>
      <c r="AP48" s="43">
        <v>238.33333333333334</v>
      </c>
      <c r="AQ48" s="190">
        <v>54792.709547525694</v>
      </c>
      <c r="AR48" s="190">
        <v>47925.543039319869</v>
      </c>
      <c r="AS48" s="190">
        <v>49255.321687260337</v>
      </c>
      <c r="AT48" s="190">
        <v>50146.108966108965</v>
      </c>
      <c r="AU48" s="190">
        <v>48899.25</v>
      </c>
      <c r="AV48" s="162">
        <v>55430.55</v>
      </c>
      <c r="AW48" s="162">
        <v>55839.68</v>
      </c>
      <c r="AX48" s="162">
        <v>56610.32</v>
      </c>
      <c r="AY48" s="161">
        <v>57565.67</v>
      </c>
      <c r="AZ48" s="161">
        <v>56330</v>
      </c>
      <c r="BA48" s="49">
        <v>9.1999999999999993</v>
      </c>
      <c r="BB48" s="49">
        <v>9.6</v>
      </c>
      <c r="BC48" s="49">
        <v>8.3000000000000007</v>
      </c>
      <c r="BD48" s="49">
        <v>9.8000000000000007</v>
      </c>
      <c r="BE48" s="49">
        <v>9.4</v>
      </c>
      <c r="BF48" s="42">
        <v>13.6</v>
      </c>
      <c r="BG48" s="42">
        <v>12.8</v>
      </c>
      <c r="BH48" s="42">
        <v>11.6</v>
      </c>
      <c r="BI48" s="42">
        <v>12.8</v>
      </c>
      <c r="BJ48" s="42">
        <v>10.5</v>
      </c>
      <c r="BK48" s="36">
        <v>1334</v>
      </c>
      <c r="BL48" s="36">
        <v>1323</v>
      </c>
      <c r="BM48" s="36">
        <v>1271</v>
      </c>
      <c r="BN48" s="36">
        <v>1399</v>
      </c>
      <c r="BO48" s="40">
        <v>42.353823088455769</v>
      </c>
      <c r="BP48" s="40">
        <v>43.386243386243386</v>
      </c>
      <c r="BQ48" s="40">
        <v>40.755310778914243</v>
      </c>
      <c r="BR48" s="40">
        <v>39.528234453180843</v>
      </c>
      <c r="BS48" s="51">
        <v>1.8740629685157422</v>
      </c>
      <c r="BT48" s="51">
        <v>0.52910052910052907</v>
      </c>
      <c r="BU48" s="51">
        <v>1.0228166797797009</v>
      </c>
      <c r="BV48" s="51">
        <v>0.92923516797712646</v>
      </c>
      <c r="BW48" s="39">
        <v>14.54272863568216</v>
      </c>
      <c r="BX48" s="39">
        <v>13.832199546485262</v>
      </c>
      <c r="BY48" s="39">
        <v>12.588512981904012</v>
      </c>
      <c r="BZ48" s="39">
        <v>13.366690493209434</v>
      </c>
      <c r="CA48" s="40">
        <v>93.137254901960787</v>
      </c>
      <c r="CB48" s="40">
        <v>95.327102803738313</v>
      </c>
      <c r="CC48" s="40">
        <v>96.63</v>
      </c>
      <c r="CD48" s="40">
        <v>94.23</v>
      </c>
      <c r="CE48" s="40">
        <v>1.9607843137254901</v>
      </c>
      <c r="CF48" s="40">
        <v>0.93457943925233644</v>
      </c>
      <c r="CG48" s="40">
        <v>1.1200000000000001</v>
      </c>
      <c r="CH48" s="40">
        <v>0</v>
      </c>
      <c r="CI48" s="105">
        <v>527</v>
      </c>
      <c r="CJ48" s="105">
        <v>542</v>
      </c>
      <c r="CK48" s="104">
        <v>520</v>
      </c>
      <c r="CL48" s="104">
        <v>585</v>
      </c>
      <c r="CM48" s="39">
        <v>10.44888571655167</v>
      </c>
      <c r="CN48" s="39">
        <v>13.704518445472704</v>
      </c>
      <c r="CO48" s="39">
        <v>11.050897885453194</v>
      </c>
      <c r="CP48" s="39">
        <v>12.461390989455746</v>
      </c>
      <c r="CQ48" s="104">
        <v>20</v>
      </c>
      <c r="CR48" s="104">
        <v>25</v>
      </c>
      <c r="CS48" s="104">
        <v>20</v>
      </c>
      <c r="CT48" s="104">
        <v>28</v>
      </c>
      <c r="CU48" s="39">
        <v>3.9</v>
      </c>
      <c r="CV48" s="39">
        <v>4.8</v>
      </c>
      <c r="CW48" s="39">
        <v>4</v>
      </c>
      <c r="CX48" s="39">
        <v>4.9000000000000004</v>
      </c>
      <c r="CY48" s="36">
        <v>44</v>
      </c>
      <c r="CZ48" s="104">
        <v>52</v>
      </c>
      <c r="DA48" s="104">
        <v>35</v>
      </c>
      <c r="DB48" s="104">
        <v>41</v>
      </c>
      <c r="DC48" s="39">
        <v>8.9</v>
      </c>
      <c r="DD48" s="39">
        <v>10.5</v>
      </c>
      <c r="DE48" s="39">
        <v>7.4</v>
      </c>
      <c r="DF48" s="39">
        <v>7.2</v>
      </c>
      <c r="DG48" s="39">
        <v>84.3</v>
      </c>
      <c r="DH48" s="39">
        <v>84.2</v>
      </c>
      <c r="DI48" s="39">
        <v>88.3</v>
      </c>
      <c r="DJ48" s="39">
        <v>90.4</v>
      </c>
      <c r="DK48" s="39">
        <v>15.7</v>
      </c>
      <c r="DL48" s="39">
        <v>12.2</v>
      </c>
      <c r="DM48" s="39">
        <v>15.9</v>
      </c>
      <c r="DN48" s="39">
        <v>14.4</v>
      </c>
      <c r="DO48" s="39">
        <v>23</v>
      </c>
      <c r="DP48" s="39">
        <v>23.1</v>
      </c>
      <c r="DQ48" s="39">
        <v>26.7</v>
      </c>
      <c r="DR48" s="39">
        <v>24.8</v>
      </c>
      <c r="DS48" s="39">
        <v>24.3</v>
      </c>
      <c r="DT48" s="39">
        <v>22.2</v>
      </c>
      <c r="DU48" s="39">
        <v>21.1</v>
      </c>
      <c r="DV48" s="39">
        <v>12.8</v>
      </c>
      <c r="DW48" s="45">
        <v>122</v>
      </c>
      <c r="DX48" s="45">
        <v>3</v>
      </c>
      <c r="DY48" s="15">
        <v>1</v>
      </c>
      <c r="DZ48" s="45">
        <v>0</v>
      </c>
      <c r="EA48" s="45">
        <v>2</v>
      </c>
      <c r="EB48" s="45">
        <v>5</v>
      </c>
      <c r="EC48" s="45">
        <v>4</v>
      </c>
      <c r="ED48" s="45">
        <v>4</v>
      </c>
      <c r="EE48" s="45">
        <v>3</v>
      </c>
      <c r="EF48" s="104">
        <v>485</v>
      </c>
      <c r="EG48" s="104">
        <v>431</v>
      </c>
      <c r="EH48" s="104">
        <v>419</v>
      </c>
      <c r="EI48" s="104">
        <v>405</v>
      </c>
      <c r="EJ48" s="174">
        <v>83</v>
      </c>
      <c r="EK48" s="174"/>
      <c r="EL48" s="174"/>
      <c r="EM48" s="174"/>
      <c r="EN48" s="174"/>
      <c r="EO48" s="39">
        <v>955.19399999999996</v>
      </c>
      <c r="EP48" s="39">
        <v>865.02800000000002</v>
      </c>
      <c r="EQ48" s="39">
        <v>887.80600000000004</v>
      </c>
      <c r="ER48" s="39">
        <v>859.59900000000005</v>
      </c>
      <c r="ES48" s="39">
        <v>690.577</v>
      </c>
      <c r="ET48" s="39">
        <v>537.678</v>
      </c>
      <c r="EU48" s="39">
        <v>581.71400000000006</v>
      </c>
      <c r="EV48" s="39">
        <v>541.62800000000004</v>
      </c>
      <c r="EW48" s="39">
        <v>853.13400000000001</v>
      </c>
      <c r="EX48" s="39">
        <v>734.03599999999994</v>
      </c>
      <c r="EY48" s="39">
        <v>746.85</v>
      </c>
      <c r="EZ48" s="39">
        <v>683.15300000000002</v>
      </c>
      <c r="FA48" s="39">
        <v>550.72400000000005</v>
      </c>
      <c r="FB48" s="39">
        <v>367.45299999999997</v>
      </c>
      <c r="FC48" s="39">
        <v>450.09699999999998</v>
      </c>
      <c r="FD48" s="39">
        <v>412.08300000000003</v>
      </c>
      <c r="FE48" s="44">
        <v>117</v>
      </c>
      <c r="FF48" s="44">
        <v>94</v>
      </c>
      <c r="FG48" s="44">
        <v>117</v>
      </c>
      <c r="FH48" s="44">
        <v>92</v>
      </c>
      <c r="FI48" s="39">
        <v>169.03700000000001</v>
      </c>
      <c r="FJ48" s="39">
        <v>121.514</v>
      </c>
      <c r="FK48" s="39">
        <v>163.077</v>
      </c>
      <c r="FL48" s="39">
        <v>127.566</v>
      </c>
      <c r="FM48" s="45">
        <v>138</v>
      </c>
      <c r="FN48" s="45">
        <v>124</v>
      </c>
      <c r="FO48" s="36">
        <v>99</v>
      </c>
      <c r="FP48" s="45">
        <v>104</v>
      </c>
      <c r="FQ48" s="39">
        <v>187.33500000000001</v>
      </c>
      <c r="FR48" s="39">
        <v>149.97499999999999</v>
      </c>
      <c r="FS48" s="39">
        <v>128.523</v>
      </c>
      <c r="FT48" s="39">
        <v>131.798</v>
      </c>
      <c r="FU48" s="43">
        <v>42</v>
      </c>
      <c r="FV48" s="43">
        <v>27</v>
      </c>
      <c r="FW48" s="43">
        <v>25</v>
      </c>
      <c r="FX48" s="45">
        <v>15</v>
      </c>
      <c r="FY48" s="39">
        <v>55.337000000000003</v>
      </c>
      <c r="FZ48" s="39">
        <v>29.454000000000001</v>
      </c>
      <c r="GA48" s="39">
        <v>31.8</v>
      </c>
      <c r="GB48" s="39">
        <v>16.494</v>
      </c>
      <c r="GC48" s="150">
        <v>38</v>
      </c>
      <c r="GD48" s="150">
        <v>13</v>
      </c>
      <c r="GE48" s="150">
        <v>17</v>
      </c>
      <c r="GF48" s="150">
        <v>27</v>
      </c>
      <c r="GG48" s="182">
        <v>68.486999999999995</v>
      </c>
      <c r="GH48" s="182">
        <v>22.716000000000001</v>
      </c>
      <c r="GI48" s="182">
        <v>33.67</v>
      </c>
      <c r="GJ48" s="182">
        <v>44.945999999999998</v>
      </c>
      <c r="GK48" s="182"/>
      <c r="GL48" s="114"/>
      <c r="GM48" s="114"/>
      <c r="GN48" s="114"/>
      <c r="GP48" s="114"/>
      <c r="GQ48" s="114"/>
      <c r="GR48" s="114"/>
      <c r="GS48" s="114"/>
      <c r="GU48" s="114"/>
      <c r="GV48" s="114"/>
      <c r="GW48" s="114"/>
      <c r="GX48" s="114"/>
      <c r="HE48" s="113"/>
      <c r="HF48" s="113"/>
      <c r="HG48" s="113"/>
      <c r="HH48" s="113"/>
      <c r="HI48" s="113"/>
      <c r="HJ48" s="115"/>
      <c r="HK48" s="115"/>
      <c r="HL48" s="114"/>
      <c r="HV48" s="116"/>
    </row>
    <row r="49" spans="1:230" x14ac:dyDescent="0.2">
      <c r="A49" s="128">
        <v>46</v>
      </c>
      <c r="B49" s="129" t="s">
        <v>92</v>
      </c>
      <c r="C49" s="117">
        <v>20422</v>
      </c>
      <c r="D49" s="117">
        <v>20220</v>
      </c>
      <c r="E49" s="117">
        <v>20022</v>
      </c>
      <c r="F49" s="117">
        <v>19829</v>
      </c>
      <c r="G49" s="151">
        <v>19850</v>
      </c>
      <c r="H49" s="155">
        <v>18600</v>
      </c>
      <c r="I49" s="155">
        <v>173</v>
      </c>
      <c r="J49" s="155">
        <v>75</v>
      </c>
      <c r="K49" s="155">
        <v>130</v>
      </c>
      <c r="L49" s="155">
        <v>872</v>
      </c>
      <c r="M49" s="40">
        <v>8981</v>
      </c>
      <c r="N49" s="40">
        <v>8955</v>
      </c>
      <c r="O49" s="40">
        <v>8905</v>
      </c>
      <c r="P49" s="106">
        <v>8859</v>
      </c>
      <c r="Q49" s="106">
        <v>8869</v>
      </c>
      <c r="R49" s="51">
        <v>35.299999999999997</v>
      </c>
      <c r="S49" s="51">
        <v>35.799999999999997</v>
      </c>
      <c r="T49" s="51">
        <v>36.690170053919537</v>
      </c>
      <c r="U49" s="51">
        <v>37.350312025636697</v>
      </c>
      <c r="V49" s="51">
        <v>38.965576005453308</v>
      </c>
      <c r="W49" s="38">
        <v>29</v>
      </c>
      <c r="X49" s="38">
        <v>29.4</v>
      </c>
      <c r="Y49" s="38">
        <v>29.398589796764828</v>
      </c>
      <c r="Z49" s="38">
        <v>29.870129870129869</v>
      </c>
      <c r="AA49" s="38">
        <v>30.172119972733469</v>
      </c>
      <c r="AB49" s="51">
        <v>64.3</v>
      </c>
      <c r="AC49" s="51">
        <v>65.2</v>
      </c>
      <c r="AD49" s="51">
        <v>66.088759850684369</v>
      </c>
      <c r="AE49" s="51">
        <v>67.220441895766569</v>
      </c>
      <c r="AF49" s="51">
        <v>69.13769597818677</v>
      </c>
      <c r="AG49" s="39">
        <v>5.0999999999999996</v>
      </c>
      <c r="AH49" s="39">
        <v>4.6237710503260976</v>
      </c>
      <c r="AI49" s="39">
        <v>4.0903890160183067</v>
      </c>
      <c r="AJ49" s="39">
        <v>4.1526805409034235</v>
      </c>
      <c r="AK49" s="39">
        <v>3.9946116781513914</v>
      </c>
      <c r="AL49" s="43">
        <v>1092.4166666666667</v>
      </c>
      <c r="AM49" s="43">
        <v>1007.25</v>
      </c>
      <c r="AN49" s="43">
        <v>945.33333333333337</v>
      </c>
      <c r="AO49" s="43">
        <v>888.08333333333337</v>
      </c>
      <c r="AP49" s="43">
        <v>876.83333333333337</v>
      </c>
      <c r="AQ49" s="190">
        <v>48721.552737244157</v>
      </c>
      <c r="AR49" s="190">
        <v>48589.203084832909</v>
      </c>
      <c r="AS49" s="190">
        <v>50135.432283858077</v>
      </c>
      <c r="AT49" s="190">
        <v>48672.837258560692</v>
      </c>
      <c r="AU49" s="190">
        <v>50485.450000000004</v>
      </c>
      <c r="AV49" s="162">
        <v>49572.6</v>
      </c>
      <c r="AW49" s="162">
        <v>53162.720000000001</v>
      </c>
      <c r="AX49" s="162">
        <v>54123.68</v>
      </c>
      <c r="AY49" s="161">
        <v>49932.340000000004</v>
      </c>
      <c r="AZ49" s="161">
        <v>53805</v>
      </c>
      <c r="BA49" s="49">
        <v>11.6</v>
      </c>
      <c r="BB49" s="49">
        <v>12.2</v>
      </c>
      <c r="BC49" s="49">
        <v>13.6</v>
      </c>
      <c r="BD49" s="49">
        <v>12.1</v>
      </c>
      <c r="BE49" s="49">
        <v>11.1</v>
      </c>
      <c r="BF49" s="42">
        <v>17.8</v>
      </c>
      <c r="BG49" s="42">
        <v>19.5</v>
      </c>
      <c r="BH49" s="42">
        <v>19.5</v>
      </c>
      <c r="BI49" s="42">
        <v>17.5</v>
      </c>
      <c r="BJ49" s="42">
        <v>16.7</v>
      </c>
      <c r="BK49" s="36">
        <v>3019</v>
      </c>
      <c r="BL49" s="36">
        <v>3048</v>
      </c>
      <c r="BM49" s="36">
        <v>2965</v>
      </c>
      <c r="BN49" s="36">
        <v>3065</v>
      </c>
      <c r="BO49" s="40">
        <v>43.656840013249422</v>
      </c>
      <c r="BP49" s="40">
        <v>45.209973753280842</v>
      </c>
      <c r="BQ49" s="40">
        <v>45.632377740303539</v>
      </c>
      <c r="BR49" s="40">
        <v>44.861337683523658</v>
      </c>
      <c r="BS49" s="51">
        <v>2.3848956608148395</v>
      </c>
      <c r="BT49" s="51">
        <v>2.2637795275590551</v>
      </c>
      <c r="BU49" s="51">
        <v>2.5295109612141653</v>
      </c>
      <c r="BV49" s="51">
        <v>3.034257748776509</v>
      </c>
      <c r="BW49" s="39">
        <v>15.965551507121564</v>
      </c>
      <c r="BX49" s="39">
        <v>16.961942257217849</v>
      </c>
      <c r="BY49" s="39">
        <v>15.143338954468803</v>
      </c>
      <c r="BZ49" s="39">
        <v>16.802610114192497</v>
      </c>
      <c r="CA49" s="40">
        <v>86.111111111111114</v>
      </c>
      <c r="CB49" s="40">
        <v>92.369477911646598</v>
      </c>
      <c r="CC49" s="40">
        <v>89.85</v>
      </c>
      <c r="CD49" s="40">
        <v>91.87</v>
      </c>
      <c r="CE49" s="40">
        <v>5.0925925925925926</v>
      </c>
      <c r="CF49" s="40">
        <v>1.2048192771084338</v>
      </c>
      <c r="CG49" s="40">
        <v>6.6</v>
      </c>
      <c r="CH49" s="40">
        <v>4.88</v>
      </c>
      <c r="CI49" s="105">
        <v>1150</v>
      </c>
      <c r="CJ49" s="105">
        <v>1216</v>
      </c>
      <c r="CK49" s="104">
        <v>1083</v>
      </c>
      <c r="CL49" s="104">
        <v>1138</v>
      </c>
      <c r="CM49" s="39">
        <v>10.623654721983575</v>
      </c>
      <c r="CN49" s="39">
        <v>14.602046207790961</v>
      </c>
      <c r="CO49" s="39">
        <v>10.54692064976043</v>
      </c>
      <c r="CP49" s="39">
        <v>11.341100026907707</v>
      </c>
      <c r="CQ49" s="104">
        <v>47</v>
      </c>
      <c r="CR49" s="104">
        <v>64</v>
      </c>
      <c r="CS49" s="104">
        <v>53</v>
      </c>
      <c r="CT49" s="104">
        <v>52</v>
      </c>
      <c r="CU49" s="39">
        <v>4.3</v>
      </c>
      <c r="CV49" s="39">
        <v>5.5</v>
      </c>
      <c r="CW49" s="39">
        <v>5</v>
      </c>
      <c r="CX49" s="39">
        <v>4.7</v>
      </c>
      <c r="CY49" s="36">
        <v>84</v>
      </c>
      <c r="CZ49" s="104">
        <v>100</v>
      </c>
      <c r="DA49" s="104">
        <v>69</v>
      </c>
      <c r="DB49" s="104">
        <v>88</v>
      </c>
      <c r="DC49" s="39">
        <v>8.1</v>
      </c>
      <c r="DD49" s="39">
        <v>10.7</v>
      </c>
      <c r="DE49" s="39">
        <v>7.2</v>
      </c>
      <c r="DF49" s="39">
        <v>7.9</v>
      </c>
      <c r="DG49" s="39">
        <v>84.6</v>
      </c>
      <c r="DH49" s="39">
        <v>88.3</v>
      </c>
      <c r="DI49" s="39">
        <v>89.2</v>
      </c>
      <c r="DJ49" s="39">
        <v>87.9</v>
      </c>
      <c r="DK49" s="39">
        <v>18</v>
      </c>
      <c r="DL49" s="39">
        <v>19.5</v>
      </c>
      <c r="DM49" s="39">
        <v>19.5</v>
      </c>
      <c r="DN49" s="39">
        <v>20.8</v>
      </c>
      <c r="DO49" s="39">
        <v>29.4</v>
      </c>
      <c r="DP49" s="39">
        <v>37.700000000000003</v>
      </c>
      <c r="DQ49" s="39">
        <v>40.700000000000003</v>
      </c>
      <c r="DR49" s="39">
        <v>43.1</v>
      </c>
      <c r="DS49" s="39">
        <v>33.299999999999997</v>
      </c>
      <c r="DT49" s="39">
        <v>32.9</v>
      </c>
      <c r="DU49" s="39">
        <v>30.7</v>
      </c>
      <c r="DV49" s="39">
        <v>19.3</v>
      </c>
      <c r="DW49" s="45">
        <v>202</v>
      </c>
      <c r="DX49" s="45">
        <v>1</v>
      </c>
      <c r="DY49" s="15">
        <v>2</v>
      </c>
      <c r="DZ49" s="45">
        <v>4</v>
      </c>
      <c r="EA49" s="45">
        <v>21</v>
      </c>
      <c r="EB49" s="45">
        <v>6</v>
      </c>
      <c r="EC49" s="45">
        <v>5</v>
      </c>
      <c r="ED49" s="45">
        <v>4</v>
      </c>
      <c r="EE49" s="45">
        <v>5</v>
      </c>
      <c r="EF49" s="104">
        <v>1296</v>
      </c>
      <c r="EG49" s="104">
        <v>1191</v>
      </c>
      <c r="EH49" s="104">
        <v>1189</v>
      </c>
      <c r="EI49" s="104">
        <v>1281</v>
      </c>
      <c r="EJ49" s="174">
        <v>241</v>
      </c>
      <c r="EK49" s="174">
        <v>1</v>
      </c>
      <c r="EL49" s="174"/>
      <c r="EM49" s="174"/>
      <c r="EN49" s="174">
        <v>1</v>
      </c>
      <c r="EO49" s="39">
        <v>1188.8820000000001</v>
      </c>
      <c r="EP49" s="39">
        <v>1134.1780000000001</v>
      </c>
      <c r="EQ49" s="39">
        <v>1141.075</v>
      </c>
      <c r="ER49" s="39">
        <v>1279.5920000000001</v>
      </c>
      <c r="ES49" s="39">
        <v>729.827</v>
      </c>
      <c r="ET49" s="39">
        <v>640.55899999999997</v>
      </c>
      <c r="EU49" s="39">
        <v>623.69000000000005</v>
      </c>
      <c r="EV49" s="39">
        <v>682.59</v>
      </c>
      <c r="EW49" s="39">
        <v>916.48500000000001</v>
      </c>
      <c r="EX49" s="39">
        <v>847.053</v>
      </c>
      <c r="EY49" s="39">
        <v>753.70699999999999</v>
      </c>
      <c r="EZ49" s="39">
        <v>817.25699999999995</v>
      </c>
      <c r="FA49" s="39">
        <v>609.58100000000002</v>
      </c>
      <c r="FB49" s="39">
        <v>490.49400000000003</v>
      </c>
      <c r="FC49" s="39">
        <v>522.78700000000003</v>
      </c>
      <c r="FD49" s="39">
        <v>563.94000000000005</v>
      </c>
      <c r="FE49" s="44">
        <v>320</v>
      </c>
      <c r="FF49" s="44">
        <v>283</v>
      </c>
      <c r="FG49" s="44">
        <v>272</v>
      </c>
      <c r="FH49" s="44">
        <v>296</v>
      </c>
      <c r="FI49" s="39">
        <v>194.32</v>
      </c>
      <c r="FJ49" s="39">
        <v>162.036</v>
      </c>
      <c r="FK49" s="39">
        <v>154.55000000000001</v>
      </c>
      <c r="FL49" s="39">
        <v>170.809</v>
      </c>
      <c r="FM49" s="45">
        <v>392</v>
      </c>
      <c r="FN49" s="45">
        <v>351</v>
      </c>
      <c r="FO49" s="36">
        <v>336</v>
      </c>
      <c r="FP49" s="45">
        <v>334</v>
      </c>
      <c r="FQ49" s="39">
        <v>202.786</v>
      </c>
      <c r="FR49" s="39">
        <v>173.2</v>
      </c>
      <c r="FS49" s="39">
        <v>156.245</v>
      </c>
      <c r="FT49" s="39">
        <v>162.57900000000001</v>
      </c>
      <c r="FU49" s="43">
        <v>73</v>
      </c>
      <c r="FV49" s="43">
        <v>50</v>
      </c>
      <c r="FW49" s="43">
        <v>60</v>
      </c>
      <c r="FX49" s="45">
        <v>45</v>
      </c>
      <c r="FY49" s="39">
        <v>36.215000000000003</v>
      </c>
      <c r="FZ49" s="39">
        <v>22.373000000000001</v>
      </c>
      <c r="GA49" s="39">
        <v>27.141999999999999</v>
      </c>
      <c r="GB49" s="39">
        <v>19.289000000000001</v>
      </c>
      <c r="GC49" s="150">
        <v>52</v>
      </c>
      <c r="GD49" s="150">
        <v>50</v>
      </c>
      <c r="GE49" s="150">
        <v>48</v>
      </c>
      <c r="GF49" s="150">
        <v>67</v>
      </c>
      <c r="GG49" s="182">
        <v>40.314999999999998</v>
      </c>
      <c r="GH49" s="182">
        <v>36.459000000000003</v>
      </c>
      <c r="GI49" s="182">
        <v>31.759</v>
      </c>
      <c r="GJ49" s="182">
        <v>42.473999999999997</v>
      </c>
      <c r="GK49" s="182"/>
      <c r="GL49" s="114"/>
      <c r="GM49" s="114"/>
      <c r="GN49" s="114"/>
      <c r="GP49" s="114"/>
      <c r="GQ49" s="114"/>
      <c r="GR49" s="114"/>
      <c r="GS49" s="114"/>
      <c r="GU49" s="114"/>
      <c r="GV49" s="114"/>
      <c r="GW49" s="114"/>
      <c r="GX49" s="114"/>
      <c r="HE49" s="113"/>
      <c r="HF49" s="113"/>
      <c r="HG49" s="113"/>
      <c r="HH49" s="113"/>
      <c r="HI49" s="113"/>
      <c r="HJ49" s="115"/>
      <c r="HK49" s="115"/>
      <c r="HL49" s="114"/>
      <c r="HV49" s="116"/>
    </row>
    <row r="50" spans="1:230" ht="21" customHeight="1" x14ac:dyDescent="0.2">
      <c r="A50" s="128">
        <v>47</v>
      </c>
      <c r="B50" s="129" t="s">
        <v>93</v>
      </c>
      <c r="C50" s="117">
        <v>23119</v>
      </c>
      <c r="D50" s="117">
        <v>23107</v>
      </c>
      <c r="E50" s="117">
        <v>23102</v>
      </c>
      <c r="F50" s="117">
        <v>23110</v>
      </c>
      <c r="G50" s="151">
        <v>23131</v>
      </c>
      <c r="H50" s="155">
        <v>21796</v>
      </c>
      <c r="I50" s="155">
        <v>220</v>
      </c>
      <c r="J50" s="155">
        <v>58</v>
      </c>
      <c r="K50" s="155">
        <v>115</v>
      </c>
      <c r="L50" s="155">
        <v>942</v>
      </c>
      <c r="M50" s="40">
        <v>9177</v>
      </c>
      <c r="N50" s="40">
        <v>9185</v>
      </c>
      <c r="O50" s="40">
        <v>9177</v>
      </c>
      <c r="P50" s="106">
        <v>9204</v>
      </c>
      <c r="Q50" s="106">
        <v>9239</v>
      </c>
      <c r="R50" s="51">
        <v>28.5</v>
      </c>
      <c r="S50" s="51">
        <v>29.1</v>
      </c>
      <c r="T50" s="51">
        <v>30.309891042875336</v>
      </c>
      <c r="U50" s="51">
        <v>31.397252473485658</v>
      </c>
      <c r="V50" s="51">
        <v>32.487601523754762</v>
      </c>
      <c r="W50" s="38">
        <v>33.200000000000003</v>
      </c>
      <c r="X50" s="38">
        <v>32.799999999999997</v>
      </c>
      <c r="Y50" s="38">
        <v>33.139946228951466</v>
      </c>
      <c r="Z50" s="38">
        <v>33.09844117019005</v>
      </c>
      <c r="AA50" s="38">
        <v>33.766980521814133</v>
      </c>
      <c r="AB50" s="51">
        <v>61.7</v>
      </c>
      <c r="AC50" s="51">
        <v>61.9</v>
      </c>
      <c r="AD50" s="51">
        <v>63.449837271826802</v>
      </c>
      <c r="AE50" s="51">
        <v>64.495693643675708</v>
      </c>
      <c r="AF50" s="51">
        <v>66.254582045568895</v>
      </c>
      <c r="AG50" s="39">
        <v>5.6</v>
      </c>
      <c r="AH50" s="39">
        <v>4.4880241841717696</v>
      </c>
      <c r="AI50" s="39">
        <v>4.1952309985096869</v>
      </c>
      <c r="AJ50" s="39">
        <v>4.5402778832283044</v>
      </c>
      <c r="AK50" s="39">
        <v>4.2070952092177079</v>
      </c>
      <c r="AL50" s="43">
        <v>861.5</v>
      </c>
      <c r="AM50" s="43">
        <v>756.16666666666663</v>
      </c>
      <c r="AN50" s="43">
        <v>709.41666666666663</v>
      </c>
      <c r="AO50" s="43">
        <v>693.91666666666663</v>
      </c>
      <c r="AP50" s="43">
        <v>690.58333333333337</v>
      </c>
      <c r="AQ50" s="190">
        <v>39654.75149363582</v>
      </c>
      <c r="AR50" s="190">
        <v>40605.551712210312</v>
      </c>
      <c r="AS50" s="190">
        <v>42657.802816901407</v>
      </c>
      <c r="AT50" s="190">
        <v>42692.051492860235</v>
      </c>
      <c r="AU50" s="190">
        <v>42887.14</v>
      </c>
      <c r="AV50" s="162">
        <v>52682.700000000004</v>
      </c>
      <c r="AW50" s="162">
        <v>57540.08</v>
      </c>
      <c r="AX50" s="162">
        <v>56528.160000000003</v>
      </c>
      <c r="AY50" s="161">
        <v>60365.21</v>
      </c>
      <c r="AZ50" s="161">
        <v>56068</v>
      </c>
      <c r="BA50" s="49">
        <v>9.4</v>
      </c>
      <c r="BB50" s="49">
        <v>10</v>
      </c>
      <c r="BC50" s="49">
        <v>7.9</v>
      </c>
      <c r="BD50" s="49">
        <v>7.1</v>
      </c>
      <c r="BE50" s="49">
        <v>9.1</v>
      </c>
      <c r="BF50" s="42">
        <v>12.2</v>
      </c>
      <c r="BG50" s="42">
        <v>13.1</v>
      </c>
      <c r="BH50" s="42">
        <v>10.5</v>
      </c>
      <c r="BI50" s="42">
        <v>10</v>
      </c>
      <c r="BJ50" s="42">
        <v>10.199999999999999</v>
      </c>
      <c r="BK50" s="36">
        <v>3397</v>
      </c>
      <c r="BL50" s="36">
        <v>3360</v>
      </c>
      <c r="BM50" s="36">
        <v>3286</v>
      </c>
      <c r="BN50" s="36">
        <v>3008</v>
      </c>
      <c r="BO50" s="40">
        <v>38.857815719752722</v>
      </c>
      <c r="BP50" s="40">
        <v>38.333333333333336</v>
      </c>
      <c r="BQ50" s="40">
        <v>38.070602556299455</v>
      </c>
      <c r="BR50" s="40">
        <v>35.871010638297875</v>
      </c>
      <c r="BS50" s="51">
        <v>0.82425669708566385</v>
      </c>
      <c r="BT50" s="51">
        <v>1.7261904761904763</v>
      </c>
      <c r="BU50" s="51">
        <v>1.7650639074863055</v>
      </c>
      <c r="BV50" s="51">
        <v>1.5292553191489362</v>
      </c>
      <c r="BW50" s="39">
        <v>14.807182808360318</v>
      </c>
      <c r="BX50" s="39">
        <v>15.386904761904763</v>
      </c>
      <c r="BY50" s="39">
        <v>14.029214850882532</v>
      </c>
      <c r="BZ50" s="39">
        <v>18.417553191489361</v>
      </c>
      <c r="CA50" s="40">
        <v>90.40590405904058</v>
      </c>
      <c r="CB50" s="40">
        <v>88.07692307692308</v>
      </c>
      <c r="CC50" s="40">
        <v>92.7</v>
      </c>
      <c r="CD50" s="40">
        <v>91.67</v>
      </c>
      <c r="CE50" s="40">
        <v>3.6900369003690034</v>
      </c>
      <c r="CF50" s="40">
        <v>4.166666666666667</v>
      </c>
      <c r="CG50" s="40">
        <v>2.19</v>
      </c>
      <c r="CH50" s="40">
        <v>2.5</v>
      </c>
      <c r="CI50" s="105">
        <v>1450</v>
      </c>
      <c r="CJ50" s="105">
        <v>1587</v>
      </c>
      <c r="CK50" s="104">
        <v>1461</v>
      </c>
      <c r="CL50" s="104">
        <v>1357</v>
      </c>
      <c r="CM50" s="39">
        <v>12.968428584205348</v>
      </c>
      <c r="CN50" s="39">
        <v>17.016212043232116</v>
      </c>
      <c r="CO50" s="39">
        <v>12.603193499133045</v>
      </c>
      <c r="CP50" s="39">
        <v>11.74190310550407</v>
      </c>
      <c r="CQ50" s="104">
        <v>62</v>
      </c>
      <c r="CR50" s="104">
        <v>70</v>
      </c>
      <c r="CS50" s="104">
        <v>68</v>
      </c>
      <c r="CT50" s="104">
        <v>58</v>
      </c>
      <c r="CU50" s="39">
        <v>4.4000000000000004</v>
      </c>
      <c r="CV50" s="39">
        <v>4.5</v>
      </c>
      <c r="CW50" s="39">
        <v>4.8</v>
      </c>
      <c r="CX50" s="39">
        <v>4.4000000000000004</v>
      </c>
      <c r="CY50" s="36">
        <v>94</v>
      </c>
      <c r="CZ50" s="104">
        <v>109</v>
      </c>
      <c r="DA50" s="104">
        <v>104</v>
      </c>
      <c r="DB50" s="104">
        <v>88</v>
      </c>
      <c r="DC50" s="39">
        <v>7.1</v>
      </c>
      <c r="DD50" s="39">
        <v>7.5</v>
      </c>
      <c r="DE50" s="39">
        <v>7.6</v>
      </c>
      <c r="DF50" s="39">
        <v>6.7</v>
      </c>
      <c r="DG50" s="39">
        <v>81.7</v>
      </c>
      <c r="DH50" s="39">
        <v>83</v>
      </c>
      <c r="DI50" s="39">
        <v>85.1</v>
      </c>
      <c r="DJ50" s="39">
        <v>85.1</v>
      </c>
      <c r="DK50" s="39">
        <v>16.7</v>
      </c>
      <c r="DL50" s="39">
        <v>16.600000000000001</v>
      </c>
      <c r="DM50" s="39">
        <v>15.5</v>
      </c>
      <c r="DN50" s="39">
        <v>15.2</v>
      </c>
      <c r="DO50" s="39">
        <v>22.8</v>
      </c>
      <c r="DP50" s="39">
        <v>25.5</v>
      </c>
      <c r="DQ50" s="39">
        <v>23.2</v>
      </c>
      <c r="DR50" s="39">
        <v>29.4</v>
      </c>
      <c r="DS50" s="39">
        <v>30.8</v>
      </c>
      <c r="DT50" s="39">
        <v>33.9</v>
      </c>
      <c r="DU50" s="39">
        <v>21.2</v>
      </c>
      <c r="DV50" s="39">
        <v>17.8</v>
      </c>
      <c r="DW50" s="45">
        <v>234</v>
      </c>
      <c r="DX50" s="45">
        <v>1</v>
      </c>
      <c r="DY50" s="15">
        <v>1</v>
      </c>
      <c r="DZ50" s="45">
        <v>1</v>
      </c>
      <c r="EA50" s="45">
        <v>15</v>
      </c>
      <c r="EB50" s="45">
        <v>5</v>
      </c>
      <c r="EC50" s="45">
        <v>7</v>
      </c>
      <c r="ED50" s="45">
        <v>7</v>
      </c>
      <c r="EE50" s="45">
        <v>6</v>
      </c>
      <c r="EF50" s="104">
        <v>1148</v>
      </c>
      <c r="EG50" s="104">
        <v>1130</v>
      </c>
      <c r="EH50" s="104">
        <v>1074</v>
      </c>
      <c r="EI50" s="104">
        <v>1142</v>
      </c>
      <c r="EJ50" s="174">
        <v>242</v>
      </c>
      <c r="EK50" s="174">
        <v>1</v>
      </c>
      <c r="EL50" s="174">
        <v>1</v>
      </c>
      <c r="EM50" s="174"/>
      <c r="EN50" s="174">
        <v>2</v>
      </c>
      <c r="EO50" s="39">
        <v>1013.955</v>
      </c>
      <c r="EP50" s="39">
        <v>967.01</v>
      </c>
      <c r="EQ50" s="39">
        <v>921.88800000000003</v>
      </c>
      <c r="ER50" s="39">
        <v>988.65899999999999</v>
      </c>
      <c r="ES50" s="39">
        <v>746.221</v>
      </c>
      <c r="ET50" s="39">
        <v>697.01700000000005</v>
      </c>
      <c r="EU50" s="39">
        <v>674.15200000000004</v>
      </c>
      <c r="EV50" s="39">
        <v>680.15</v>
      </c>
      <c r="EW50" s="39">
        <v>949.976</v>
      </c>
      <c r="EX50" s="39">
        <v>824.61800000000005</v>
      </c>
      <c r="EY50" s="39">
        <v>800.83900000000006</v>
      </c>
      <c r="EZ50" s="39">
        <v>804.83600000000001</v>
      </c>
      <c r="FA50" s="39">
        <v>603.726</v>
      </c>
      <c r="FB50" s="39">
        <v>579.005</v>
      </c>
      <c r="FC50" s="39">
        <v>556.55999999999995</v>
      </c>
      <c r="FD50" s="39">
        <v>575.07399999999996</v>
      </c>
      <c r="FE50" s="44">
        <v>262</v>
      </c>
      <c r="FF50" s="44">
        <v>256</v>
      </c>
      <c r="FG50" s="44">
        <v>236</v>
      </c>
      <c r="FH50" s="44">
        <v>264</v>
      </c>
      <c r="FI50" s="39">
        <v>185.53200000000001</v>
      </c>
      <c r="FJ50" s="39">
        <v>170.46199999999999</v>
      </c>
      <c r="FK50" s="39">
        <v>151.57599999999999</v>
      </c>
      <c r="FL50" s="39">
        <v>159.821</v>
      </c>
      <c r="FM50" s="45">
        <v>314</v>
      </c>
      <c r="FN50" s="45">
        <v>253</v>
      </c>
      <c r="FO50" s="36">
        <v>219</v>
      </c>
      <c r="FP50" s="45">
        <v>214</v>
      </c>
      <c r="FQ50" s="39">
        <v>192.99799999999999</v>
      </c>
      <c r="FR50" s="39">
        <v>147.887</v>
      </c>
      <c r="FS50" s="39">
        <v>132.24</v>
      </c>
      <c r="FT50" s="39">
        <v>123.248</v>
      </c>
      <c r="FU50" s="43">
        <v>103</v>
      </c>
      <c r="FV50" s="43">
        <v>90</v>
      </c>
      <c r="FW50" s="43">
        <v>61</v>
      </c>
      <c r="FX50" s="45">
        <v>62</v>
      </c>
      <c r="FY50" s="39">
        <v>61.515999999999998</v>
      </c>
      <c r="FZ50" s="39">
        <v>49.948</v>
      </c>
      <c r="GA50" s="39">
        <v>35.939</v>
      </c>
      <c r="GB50" s="39">
        <v>36.295999999999999</v>
      </c>
      <c r="GC50" s="150">
        <v>59</v>
      </c>
      <c r="GD50" s="150">
        <v>54</v>
      </c>
      <c r="GE50" s="150">
        <v>57</v>
      </c>
      <c r="GF50" s="150">
        <v>52</v>
      </c>
      <c r="GG50" s="182">
        <v>47.502000000000002</v>
      </c>
      <c r="GH50" s="182">
        <v>39.923999999999999</v>
      </c>
      <c r="GI50" s="182">
        <v>42.194000000000003</v>
      </c>
      <c r="GJ50" s="182">
        <v>37.768999999999998</v>
      </c>
      <c r="GK50" s="182"/>
      <c r="GL50" s="114"/>
      <c r="GM50" s="114"/>
      <c r="GN50" s="114"/>
      <c r="GP50" s="114"/>
      <c r="GQ50" s="114"/>
      <c r="GR50" s="114"/>
      <c r="GS50" s="114"/>
      <c r="GU50" s="114"/>
      <c r="GV50" s="114"/>
      <c r="GW50" s="114"/>
      <c r="GX50" s="114"/>
      <c r="HE50" s="113"/>
      <c r="HF50" s="113"/>
      <c r="HG50" s="113"/>
      <c r="HH50" s="113"/>
      <c r="HI50" s="113"/>
      <c r="HJ50" s="115"/>
      <c r="HK50" s="115"/>
      <c r="HL50" s="114"/>
      <c r="HV50" s="116"/>
    </row>
    <row r="51" spans="1:230" x14ac:dyDescent="0.2">
      <c r="A51" s="128">
        <v>48</v>
      </c>
      <c r="B51" s="129" t="s">
        <v>94</v>
      </c>
      <c r="C51" s="117">
        <v>25833</v>
      </c>
      <c r="D51" s="117">
        <v>25884</v>
      </c>
      <c r="E51" s="117">
        <v>25788</v>
      </c>
      <c r="F51" s="117">
        <v>25866</v>
      </c>
      <c r="G51" s="151">
        <v>25872</v>
      </c>
      <c r="H51" s="155">
        <v>23268</v>
      </c>
      <c r="I51" s="155">
        <v>268</v>
      </c>
      <c r="J51" s="155">
        <v>1560</v>
      </c>
      <c r="K51" s="155">
        <v>153</v>
      </c>
      <c r="L51" s="155">
        <v>623</v>
      </c>
      <c r="M51" s="40">
        <v>10144</v>
      </c>
      <c r="N51" s="40">
        <v>10160</v>
      </c>
      <c r="O51" s="40">
        <v>10134</v>
      </c>
      <c r="P51" s="106">
        <v>10213</v>
      </c>
      <c r="Q51" s="106">
        <v>10244</v>
      </c>
      <c r="R51" s="51">
        <v>28.1</v>
      </c>
      <c r="S51" s="51">
        <v>29</v>
      </c>
      <c r="T51" s="51">
        <v>29.66668751172535</v>
      </c>
      <c r="U51" s="51">
        <v>30.159824506424322</v>
      </c>
      <c r="V51" s="51">
        <v>28.903032572070387</v>
      </c>
      <c r="W51" s="38">
        <v>32.200000000000003</v>
      </c>
      <c r="X51" s="38">
        <v>32.299999999999997</v>
      </c>
      <c r="Y51" s="38">
        <v>31.599024451253833</v>
      </c>
      <c r="Z51" s="38">
        <v>31.95863365716076</v>
      </c>
      <c r="AA51" s="38">
        <v>32.534631224260572</v>
      </c>
      <c r="AB51" s="51">
        <v>60.2</v>
      </c>
      <c r="AC51" s="51">
        <v>61.3</v>
      </c>
      <c r="AD51" s="51">
        <v>61.265711962979175</v>
      </c>
      <c r="AE51" s="51">
        <v>62.118458163585089</v>
      </c>
      <c r="AF51" s="51">
        <v>61.437663796330966</v>
      </c>
      <c r="AG51" s="39">
        <v>8.1</v>
      </c>
      <c r="AH51" s="39">
        <v>6.6458170445660674</v>
      </c>
      <c r="AI51" s="39">
        <v>5.8158571762688078</v>
      </c>
      <c r="AJ51" s="39">
        <v>6.0156311676008523</v>
      </c>
      <c r="AK51" s="39">
        <v>5.6894814355476315</v>
      </c>
      <c r="AL51" s="43">
        <v>1311.1666666666667</v>
      </c>
      <c r="AM51" s="43">
        <v>1255.3333333333333</v>
      </c>
      <c r="AN51" s="242">
        <v>1149</v>
      </c>
      <c r="AO51" s="43">
        <v>1045.3333333333333</v>
      </c>
      <c r="AP51" s="242">
        <v>1061</v>
      </c>
      <c r="AQ51" s="190">
        <v>35767.007434944237</v>
      </c>
      <c r="AR51" s="190">
        <v>37277.914743415691</v>
      </c>
      <c r="AS51" s="190">
        <v>38607.74268733248</v>
      </c>
      <c r="AT51" s="190">
        <v>39233.697904585169</v>
      </c>
      <c r="AU51" s="190">
        <v>41905.550000000003</v>
      </c>
      <c r="AV51" s="162">
        <v>47356.05</v>
      </c>
      <c r="AW51" s="162">
        <v>50937.120000000003</v>
      </c>
      <c r="AX51" s="162">
        <v>50371.360000000001</v>
      </c>
      <c r="AY51" s="161">
        <v>52151.99</v>
      </c>
      <c r="AZ51" s="161">
        <v>53273</v>
      </c>
      <c r="BA51" s="49">
        <v>12.1</v>
      </c>
      <c r="BB51" s="49">
        <v>12</v>
      </c>
      <c r="BC51" s="49">
        <v>12.4</v>
      </c>
      <c r="BD51" s="49">
        <v>12.1</v>
      </c>
      <c r="BE51" s="49">
        <v>11</v>
      </c>
      <c r="BF51" s="42">
        <v>17.899999999999999</v>
      </c>
      <c r="BG51" s="42">
        <v>17.3</v>
      </c>
      <c r="BH51" s="42">
        <v>18.5</v>
      </c>
      <c r="BI51" s="42">
        <v>17.3</v>
      </c>
      <c r="BJ51" s="42">
        <v>15.3</v>
      </c>
      <c r="BK51" s="36">
        <v>6359</v>
      </c>
      <c r="BL51" s="36">
        <v>6134</v>
      </c>
      <c r="BM51" s="36">
        <v>6125</v>
      </c>
      <c r="BN51" s="36">
        <v>6432</v>
      </c>
      <c r="BO51" s="40">
        <v>40.886931907532627</v>
      </c>
      <c r="BP51" s="40">
        <v>40.34887512226932</v>
      </c>
      <c r="BQ51" s="40">
        <v>42.02448979591837</v>
      </c>
      <c r="BR51" s="40">
        <v>40.516169154228855</v>
      </c>
      <c r="BS51" s="51">
        <v>0.18870891649630445</v>
      </c>
      <c r="BT51" s="51">
        <v>0.27714378871861756</v>
      </c>
      <c r="BU51" s="51">
        <v>0.16326530612244897</v>
      </c>
      <c r="BV51" s="51">
        <v>0.32649253731343281</v>
      </c>
      <c r="BW51" s="39">
        <v>16.543481679509355</v>
      </c>
      <c r="BX51" s="39">
        <v>16.188457776328661</v>
      </c>
      <c r="BY51" s="39">
        <v>15.232653061224489</v>
      </c>
      <c r="BZ51" s="39">
        <v>18.921019900497512</v>
      </c>
      <c r="CA51" s="40">
        <v>83.798882681564251</v>
      </c>
      <c r="CB51" s="40">
        <v>83.050847457627114</v>
      </c>
      <c r="CC51" s="40">
        <v>77.959999999999994</v>
      </c>
      <c r="CD51" s="40">
        <v>80.040000000000006</v>
      </c>
      <c r="CE51" s="40">
        <v>5.5865921787709496</v>
      </c>
      <c r="CF51" s="40">
        <v>6.9943289224952743</v>
      </c>
      <c r="CG51" s="40">
        <v>9.18</v>
      </c>
      <c r="CH51" s="40">
        <v>6.53</v>
      </c>
      <c r="CI51" s="105">
        <v>1403</v>
      </c>
      <c r="CJ51" s="105">
        <v>1798</v>
      </c>
      <c r="CK51" s="104">
        <v>1736</v>
      </c>
      <c r="CL51" s="104">
        <v>1601</v>
      </c>
      <c r="CM51" s="39">
        <v>12.605570530098831</v>
      </c>
      <c r="CN51" s="39">
        <v>17.408648167154006</v>
      </c>
      <c r="CO51" s="39">
        <v>13.294939345668423</v>
      </c>
      <c r="CP51" s="39">
        <v>12.387518086085901</v>
      </c>
      <c r="CQ51" s="104">
        <v>54</v>
      </c>
      <c r="CR51" s="104">
        <v>82</v>
      </c>
      <c r="CS51" s="104">
        <v>79</v>
      </c>
      <c r="CT51" s="104">
        <v>80</v>
      </c>
      <c r="CU51" s="39">
        <v>3.9</v>
      </c>
      <c r="CV51" s="39">
        <v>4.7</v>
      </c>
      <c r="CW51" s="39">
        <v>4.7</v>
      </c>
      <c r="CX51" s="39">
        <v>5.2</v>
      </c>
      <c r="CY51" s="36">
        <v>101</v>
      </c>
      <c r="CZ51" s="104">
        <v>161</v>
      </c>
      <c r="DA51" s="104">
        <v>140</v>
      </c>
      <c r="DB51" s="104">
        <v>141</v>
      </c>
      <c r="DC51" s="39">
        <v>7.9</v>
      </c>
      <c r="DD51" s="39">
        <v>10.199999999999999</v>
      </c>
      <c r="DE51" s="39">
        <v>8.9</v>
      </c>
      <c r="DF51" s="39">
        <v>9.1999999999999993</v>
      </c>
      <c r="DG51" s="39">
        <v>83.8</v>
      </c>
      <c r="DH51" s="39">
        <v>86.1</v>
      </c>
      <c r="DI51" s="39">
        <v>81.8</v>
      </c>
      <c r="DJ51" s="39">
        <v>78</v>
      </c>
      <c r="DK51" s="39">
        <v>23.4</v>
      </c>
      <c r="DL51" s="39">
        <v>18.399999999999999</v>
      </c>
      <c r="DM51" s="39">
        <v>23.8</v>
      </c>
      <c r="DN51" s="39">
        <v>26.9</v>
      </c>
      <c r="DO51" s="39">
        <v>33.5</v>
      </c>
      <c r="DP51" s="39">
        <v>36.200000000000003</v>
      </c>
      <c r="DQ51" s="39">
        <v>43.8</v>
      </c>
      <c r="DR51" s="39">
        <v>50</v>
      </c>
      <c r="DS51" s="39">
        <v>40.9</v>
      </c>
      <c r="DT51" s="39">
        <v>36.6</v>
      </c>
      <c r="DU51" s="39">
        <v>38.1</v>
      </c>
      <c r="DV51" s="39">
        <v>29</v>
      </c>
      <c r="DW51" s="45">
        <v>273</v>
      </c>
      <c r="DX51" s="45">
        <v>6</v>
      </c>
      <c r="DY51" s="15">
        <v>39</v>
      </c>
      <c r="DZ51" s="45">
        <v>3</v>
      </c>
      <c r="EA51" s="45">
        <v>7</v>
      </c>
      <c r="EB51" s="45">
        <v>8</v>
      </c>
      <c r="EC51" s="45">
        <v>11</v>
      </c>
      <c r="ED51" s="45">
        <v>13</v>
      </c>
      <c r="EE51" s="45">
        <v>9</v>
      </c>
      <c r="EF51" s="104">
        <v>1248</v>
      </c>
      <c r="EG51" s="104">
        <v>1231</v>
      </c>
      <c r="EH51" s="104">
        <v>1370</v>
      </c>
      <c r="EI51" s="104">
        <v>1469</v>
      </c>
      <c r="EJ51" s="174">
        <v>265</v>
      </c>
      <c r="EK51" s="174">
        <v>1</v>
      </c>
      <c r="EL51" s="174">
        <v>15</v>
      </c>
      <c r="EM51" s="174"/>
      <c r="EN51" s="174"/>
      <c r="EO51" s="39">
        <v>1117.779</v>
      </c>
      <c r="EP51" s="39">
        <v>958.72299999999996</v>
      </c>
      <c r="EQ51" s="39">
        <v>1049.9290000000001</v>
      </c>
      <c r="ER51" s="39">
        <v>1139.29</v>
      </c>
      <c r="ES51" s="39">
        <v>867.29</v>
      </c>
      <c r="ET51" s="39">
        <v>768.81799999999998</v>
      </c>
      <c r="EU51" s="39">
        <v>816.28499999999997</v>
      </c>
      <c r="EV51" s="39">
        <v>819.03899999999999</v>
      </c>
      <c r="EW51" s="39">
        <v>1054.3520000000001</v>
      </c>
      <c r="EX51" s="39">
        <v>967.96199999999999</v>
      </c>
      <c r="EY51" s="39">
        <v>960.5</v>
      </c>
      <c r="EZ51" s="39">
        <v>959.72400000000005</v>
      </c>
      <c r="FA51" s="39">
        <v>731.28599999999994</v>
      </c>
      <c r="FB51" s="39">
        <v>616.25</v>
      </c>
      <c r="FC51" s="39">
        <v>699.40200000000004</v>
      </c>
      <c r="FD51" s="39">
        <v>707.577</v>
      </c>
      <c r="FE51" s="44">
        <v>278</v>
      </c>
      <c r="FF51" s="44">
        <v>283</v>
      </c>
      <c r="FG51" s="44">
        <v>326</v>
      </c>
      <c r="FH51" s="44">
        <v>310</v>
      </c>
      <c r="FI51" s="39">
        <v>199.35499999999999</v>
      </c>
      <c r="FJ51" s="39">
        <v>187.911</v>
      </c>
      <c r="FK51" s="39">
        <v>201.17500000000001</v>
      </c>
      <c r="FL51" s="39">
        <v>173.077</v>
      </c>
      <c r="FM51" s="45">
        <v>317</v>
      </c>
      <c r="FN51" s="45">
        <v>253</v>
      </c>
      <c r="FO51" s="36">
        <v>261</v>
      </c>
      <c r="FP51" s="45">
        <v>288</v>
      </c>
      <c r="FQ51" s="39">
        <v>214.916</v>
      </c>
      <c r="FR51" s="39">
        <v>148.13399999999999</v>
      </c>
      <c r="FS51" s="39">
        <v>149.608</v>
      </c>
      <c r="FT51" s="39">
        <v>151.39099999999999</v>
      </c>
      <c r="FU51" s="43">
        <v>98</v>
      </c>
      <c r="FV51" s="43">
        <v>74</v>
      </c>
      <c r="FW51" s="43">
        <v>64</v>
      </c>
      <c r="FX51" s="45">
        <v>60</v>
      </c>
      <c r="FY51" s="39">
        <v>65.335999999999999</v>
      </c>
      <c r="FZ51" s="39">
        <v>43.744</v>
      </c>
      <c r="GA51" s="39">
        <v>36.296999999999997</v>
      </c>
      <c r="GB51" s="39">
        <v>32.75</v>
      </c>
      <c r="GC51" s="150">
        <v>71</v>
      </c>
      <c r="GD51" s="150">
        <v>78</v>
      </c>
      <c r="GE51" s="150">
        <v>89</v>
      </c>
      <c r="GF51" s="150">
        <v>96</v>
      </c>
      <c r="GG51" s="182">
        <v>56.932000000000002</v>
      </c>
      <c r="GH51" s="182">
        <v>57.29</v>
      </c>
      <c r="GI51" s="182">
        <v>61.917999999999999</v>
      </c>
      <c r="GJ51" s="182">
        <v>66.56</v>
      </c>
      <c r="GK51" s="182"/>
      <c r="GL51" s="114"/>
      <c r="GM51" s="114"/>
      <c r="GN51" s="114"/>
      <c r="GP51" s="114"/>
      <c r="GQ51" s="114"/>
      <c r="GR51" s="114"/>
      <c r="GS51" s="114"/>
      <c r="GU51" s="114"/>
      <c r="GV51" s="114"/>
      <c r="GW51" s="114"/>
      <c r="GX51" s="114"/>
      <c r="HE51" s="113"/>
      <c r="HF51" s="113"/>
      <c r="HG51" s="113"/>
      <c r="HH51" s="113"/>
      <c r="HI51" s="113"/>
      <c r="HJ51" s="115"/>
      <c r="HK51" s="115"/>
      <c r="HL51" s="114"/>
      <c r="HV51" s="116"/>
    </row>
    <row r="52" spans="1:230" x14ac:dyDescent="0.2">
      <c r="A52" s="128">
        <v>49</v>
      </c>
      <c r="B52" s="129" t="s">
        <v>95</v>
      </c>
      <c r="C52" s="117">
        <v>32872</v>
      </c>
      <c r="D52" s="117">
        <v>32810</v>
      </c>
      <c r="E52" s="117">
        <v>32775</v>
      </c>
      <c r="F52" s="117">
        <v>32821</v>
      </c>
      <c r="G52" s="151">
        <v>33064</v>
      </c>
      <c r="H52" s="155">
        <v>31898</v>
      </c>
      <c r="I52" s="155">
        <v>314</v>
      </c>
      <c r="J52" s="155">
        <v>111</v>
      </c>
      <c r="K52" s="155">
        <v>164</v>
      </c>
      <c r="L52" s="155">
        <v>577</v>
      </c>
      <c r="M52" s="40">
        <v>13070</v>
      </c>
      <c r="N52" s="40">
        <v>13083</v>
      </c>
      <c r="O52" s="40">
        <v>13100</v>
      </c>
      <c r="P52" s="106">
        <v>13162</v>
      </c>
      <c r="Q52" s="106">
        <v>13238</v>
      </c>
      <c r="R52" s="51">
        <v>27.1</v>
      </c>
      <c r="S52" s="51">
        <v>27.8</v>
      </c>
      <c r="T52" s="51">
        <v>28.500486854917234</v>
      </c>
      <c r="U52" s="51">
        <v>29.577672045911612</v>
      </c>
      <c r="V52" s="51">
        <v>30.833989759747933</v>
      </c>
      <c r="W52" s="38">
        <v>31.3</v>
      </c>
      <c r="X52" s="38">
        <v>31</v>
      </c>
      <c r="Y52" s="38">
        <v>31.066212268743914</v>
      </c>
      <c r="Z52" s="38">
        <v>31.412174424878597</v>
      </c>
      <c r="AA52" s="38">
        <v>31.946632532493108</v>
      </c>
      <c r="AB52" s="51">
        <v>58.3</v>
      </c>
      <c r="AC52" s="51">
        <v>58.8</v>
      </c>
      <c r="AD52" s="51">
        <v>59.566699123661152</v>
      </c>
      <c r="AE52" s="51">
        <v>60.989846470790212</v>
      </c>
      <c r="AF52" s="51">
        <v>62.780622292241041</v>
      </c>
      <c r="AG52" s="39">
        <v>6.9</v>
      </c>
      <c r="AH52" s="39">
        <v>6.1564155724487444</v>
      </c>
      <c r="AI52" s="39">
        <v>5.4126743990586652</v>
      </c>
      <c r="AJ52" s="39">
        <v>5.6705975286351062</v>
      </c>
      <c r="AK52" s="39">
        <v>5.4909887148391441</v>
      </c>
      <c r="AL52" s="43">
        <v>1449.8333333333333</v>
      </c>
      <c r="AM52" s="43">
        <v>1355.5833333333333</v>
      </c>
      <c r="AN52" s="43">
        <v>1284.4166666666667</v>
      </c>
      <c r="AO52" s="43">
        <v>1220.8333333333333</v>
      </c>
      <c r="AP52" s="43">
        <v>1202.0833333333333</v>
      </c>
      <c r="AQ52" s="190">
        <v>36728.827937010756</v>
      </c>
      <c r="AR52" s="190">
        <v>38849.674861221254</v>
      </c>
      <c r="AS52" s="190">
        <v>39602.024140565321</v>
      </c>
      <c r="AT52" s="190">
        <v>39293.39691051461</v>
      </c>
      <c r="AU52" s="190">
        <v>40592.300000000003</v>
      </c>
      <c r="AV52" s="162">
        <v>50806.35</v>
      </c>
      <c r="AW52" s="162">
        <v>50664.639999999999</v>
      </c>
      <c r="AX52" s="162">
        <v>52712.4</v>
      </c>
      <c r="AY52" s="161">
        <v>55872.35</v>
      </c>
      <c r="AZ52" s="161">
        <v>55709</v>
      </c>
      <c r="BA52" s="49">
        <v>12.2</v>
      </c>
      <c r="BB52" s="49">
        <v>11.8</v>
      </c>
      <c r="BC52" s="49">
        <v>10.9</v>
      </c>
      <c r="BD52" s="49">
        <v>11.9</v>
      </c>
      <c r="BE52" s="49">
        <v>10.5</v>
      </c>
      <c r="BF52" s="42">
        <v>16.399999999999999</v>
      </c>
      <c r="BG52" s="42">
        <v>15.8</v>
      </c>
      <c r="BH52" s="42">
        <v>15</v>
      </c>
      <c r="BI52" s="42">
        <v>16.100000000000001</v>
      </c>
      <c r="BJ52" s="42">
        <v>13.8</v>
      </c>
      <c r="BK52" s="36">
        <v>5360</v>
      </c>
      <c r="BL52" s="36">
        <v>5338</v>
      </c>
      <c r="BM52" s="36">
        <v>5242</v>
      </c>
      <c r="BN52" s="36">
        <v>5748</v>
      </c>
      <c r="BO52" s="40">
        <v>41.119402985074629</v>
      </c>
      <c r="BP52" s="40">
        <v>38.984638441363806</v>
      </c>
      <c r="BQ52" s="40">
        <v>38.305990080122093</v>
      </c>
      <c r="BR52" s="40">
        <v>40.292275574112736</v>
      </c>
      <c r="BS52" s="51">
        <v>0.26119402985074625</v>
      </c>
      <c r="BT52" s="51">
        <v>0.13113525665043088</v>
      </c>
      <c r="BU52" s="51">
        <v>0.55322396032048837</v>
      </c>
      <c r="BV52" s="51">
        <v>1.0090466249130132</v>
      </c>
      <c r="BW52" s="39">
        <v>15.522388059701493</v>
      </c>
      <c r="BX52" s="39">
        <v>16.167103784188836</v>
      </c>
      <c r="BY52" s="39">
        <v>14.231209462037389</v>
      </c>
      <c r="BZ52" s="39">
        <v>16.440501043841333</v>
      </c>
      <c r="CA52" s="40">
        <v>89.159292035398224</v>
      </c>
      <c r="CB52" s="40">
        <v>91.211401425178153</v>
      </c>
      <c r="CC52" s="40">
        <v>90.14</v>
      </c>
      <c r="CD52" s="40">
        <v>89.25</v>
      </c>
      <c r="CE52" s="40">
        <v>2.8761061946902653</v>
      </c>
      <c r="CF52" s="40">
        <v>4.4392523364485985</v>
      </c>
      <c r="CG52" s="40">
        <v>2.58</v>
      </c>
      <c r="CH52" s="40">
        <v>3.25</v>
      </c>
      <c r="CI52" s="105">
        <v>2020</v>
      </c>
      <c r="CJ52" s="105">
        <v>2167</v>
      </c>
      <c r="CK52" s="104">
        <v>2063</v>
      </c>
      <c r="CL52" s="104">
        <v>1927</v>
      </c>
      <c r="CM52" s="39">
        <v>12.847584399725239</v>
      </c>
      <c r="CN52" s="39">
        <v>16.525711322438209</v>
      </c>
      <c r="CO52" s="39">
        <v>12.483737254546003</v>
      </c>
      <c r="CP52" s="39">
        <v>11.725547942704848</v>
      </c>
      <c r="CQ52" s="104">
        <v>96</v>
      </c>
      <c r="CR52" s="104">
        <v>111</v>
      </c>
      <c r="CS52" s="104">
        <v>92</v>
      </c>
      <c r="CT52" s="104">
        <v>79</v>
      </c>
      <c r="CU52" s="39">
        <v>4.9000000000000004</v>
      </c>
      <c r="CV52" s="39">
        <v>5.3</v>
      </c>
      <c r="CW52" s="39">
        <v>4.5999999999999996</v>
      </c>
      <c r="CX52" s="39">
        <v>4.2</v>
      </c>
      <c r="CY52" s="36">
        <v>158</v>
      </c>
      <c r="CZ52" s="104">
        <v>183</v>
      </c>
      <c r="DA52" s="104">
        <v>172</v>
      </c>
      <c r="DB52" s="104">
        <v>126</v>
      </c>
      <c r="DC52" s="39">
        <v>8.1999999999999993</v>
      </c>
      <c r="DD52" s="39">
        <v>9</v>
      </c>
      <c r="DE52" s="39">
        <v>8.8000000000000007</v>
      </c>
      <c r="DF52" s="39">
        <v>6.7</v>
      </c>
      <c r="DG52" s="39">
        <v>90.3</v>
      </c>
      <c r="DH52" s="39">
        <v>90.4</v>
      </c>
      <c r="DI52" s="39">
        <v>89.7</v>
      </c>
      <c r="DJ52" s="39">
        <v>87.1</v>
      </c>
      <c r="DK52" s="39">
        <v>21.2</v>
      </c>
      <c r="DL52" s="39">
        <v>21.2</v>
      </c>
      <c r="DM52" s="39">
        <v>19.3</v>
      </c>
      <c r="DN52" s="39">
        <v>20.7</v>
      </c>
      <c r="DO52" s="39">
        <v>29.7</v>
      </c>
      <c r="DP52" s="39">
        <v>31.7</v>
      </c>
      <c r="DQ52" s="39">
        <v>32.4</v>
      </c>
      <c r="DR52" s="39">
        <v>33</v>
      </c>
      <c r="DS52" s="39">
        <v>35</v>
      </c>
      <c r="DT52" s="39">
        <v>29</v>
      </c>
      <c r="DU52" s="39">
        <v>22.5</v>
      </c>
      <c r="DV52" s="39">
        <v>15.8</v>
      </c>
      <c r="DW52" s="45">
        <v>335</v>
      </c>
      <c r="DX52" s="45">
        <v>6</v>
      </c>
      <c r="DY52" s="15">
        <v>0</v>
      </c>
      <c r="DZ52" s="45">
        <v>1</v>
      </c>
      <c r="EA52" s="45">
        <v>13</v>
      </c>
      <c r="EB52" s="45">
        <v>13</v>
      </c>
      <c r="EC52" s="45">
        <v>14</v>
      </c>
      <c r="ED52" s="45">
        <v>13</v>
      </c>
      <c r="EE52" s="45">
        <v>6</v>
      </c>
      <c r="EF52" s="104">
        <v>1508</v>
      </c>
      <c r="EG52" s="104">
        <v>1524</v>
      </c>
      <c r="EH52" s="104">
        <v>1538</v>
      </c>
      <c r="EI52" s="104">
        <v>1562</v>
      </c>
      <c r="EJ52" s="174">
        <v>303</v>
      </c>
      <c r="EK52" s="174"/>
      <c r="EL52" s="174"/>
      <c r="EM52" s="174"/>
      <c r="EN52" s="174">
        <v>1</v>
      </c>
      <c r="EO52" s="39">
        <v>951.06</v>
      </c>
      <c r="EP52" s="39">
        <v>929.60799999999995</v>
      </c>
      <c r="EQ52" s="39">
        <v>926.56200000000001</v>
      </c>
      <c r="ER52" s="39">
        <v>953.16600000000005</v>
      </c>
      <c r="ES52" s="39">
        <v>775.44399999999996</v>
      </c>
      <c r="ET52" s="39">
        <v>726.28099999999995</v>
      </c>
      <c r="EU52" s="39">
        <v>700.86</v>
      </c>
      <c r="EV52" s="39">
        <v>662.60799999999995</v>
      </c>
      <c r="EW52" s="39">
        <v>995.87699999999995</v>
      </c>
      <c r="EX52" s="39">
        <v>948.10400000000004</v>
      </c>
      <c r="EY52" s="39">
        <v>858.53899999999999</v>
      </c>
      <c r="EZ52" s="39">
        <v>778.90499999999997</v>
      </c>
      <c r="FA52" s="39">
        <v>608.71699999999998</v>
      </c>
      <c r="FB52" s="39">
        <v>561.15700000000004</v>
      </c>
      <c r="FC52" s="39">
        <v>573.45500000000004</v>
      </c>
      <c r="FD52" s="39">
        <v>554.49800000000005</v>
      </c>
      <c r="FE52" s="44">
        <v>378</v>
      </c>
      <c r="FF52" s="44">
        <v>348</v>
      </c>
      <c r="FG52" s="44">
        <v>383</v>
      </c>
      <c r="FH52" s="44">
        <v>359</v>
      </c>
      <c r="FI52" s="39">
        <v>199.31299999999999</v>
      </c>
      <c r="FJ52" s="39">
        <v>173.523</v>
      </c>
      <c r="FK52" s="39">
        <v>179.089</v>
      </c>
      <c r="FL52" s="39">
        <v>155.184</v>
      </c>
      <c r="FM52" s="45">
        <v>399</v>
      </c>
      <c r="FN52" s="45">
        <v>375</v>
      </c>
      <c r="FO52" s="36">
        <v>309</v>
      </c>
      <c r="FP52" s="45">
        <v>297</v>
      </c>
      <c r="FQ52" s="39">
        <v>199.27500000000001</v>
      </c>
      <c r="FR52" s="39">
        <v>172.05799999999999</v>
      </c>
      <c r="FS52" s="39">
        <v>133.91</v>
      </c>
      <c r="FT52" s="39">
        <v>121.276</v>
      </c>
      <c r="FU52" s="43">
        <v>110</v>
      </c>
      <c r="FV52" s="43">
        <v>113</v>
      </c>
      <c r="FW52" s="43">
        <v>85</v>
      </c>
      <c r="FX52" s="45">
        <v>93</v>
      </c>
      <c r="FY52" s="39">
        <v>53.13</v>
      </c>
      <c r="FZ52" s="39">
        <v>51.19</v>
      </c>
      <c r="GA52" s="39">
        <v>36.938000000000002</v>
      </c>
      <c r="GB52" s="39">
        <v>37.228999999999999</v>
      </c>
      <c r="GC52" s="150">
        <v>82</v>
      </c>
      <c r="GD52" s="150">
        <v>82</v>
      </c>
      <c r="GE52" s="150">
        <v>87</v>
      </c>
      <c r="GF52" s="150">
        <v>107</v>
      </c>
      <c r="GG52" s="182">
        <v>49.725999999999999</v>
      </c>
      <c r="GH52" s="182">
        <v>44.652999999999999</v>
      </c>
      <c r="GI52" s="182">
        <v>46.887</v>
      </c>
      <c r="GJ52" s="182">
        <v>51.89</v>
      </c>
      <c r="GK52" s="182"/>
      <c r="GL52" s="114"/>
      <c r="GM52" s="114"/>
      <c r="GN52" s="114"/>
      <c r="GP52" s="114"/>
      <c r="GQ52" s="114"/>
      <c r="GR52" s="114"/>
      <c r="GS52" s="114"/>
      <c r="GU52" s="114"/>
      <c r="GV52" s="114"/>
      <c r="GW52" s="114"/>
      <c r="GX52" s="114"/>
      <c r="HE52" s="113"/>
      <c r="HF52" s="113"/>
      <c r="HG52" s="113"/>
      <c r="HH52" s="113"/>
      <c r="HI52" s="113"/>
      <c r="HJ52" s="115"/>
      <c r="HK52" s="115"/>
      <c r="HL52" s="114"/>
      <c r="HV52" s="116"/>
    </row>
    <row r="53" spans="1:230" x14ac:dyDescent="0.2">
      <c r="A53" s="128">
        <v>50</v>
      </c>
      <c r="B53" s="129" t="s">
        <v>96</v>
      </c>
      <c r="C53" s="117">
        <v>39327</v>
      </c>
      <c r="D53" s="117">
        <v>39323</v>
      </c>
      <c r="E53" s="117">
        <v>39116</v>
      </c>
      <c r="F53" s="117">
        <v>39163</v>
      </c>
      <c r="G53" s="151">
        <v>39566</v>
      </c>
      <c r="H53" s="155">
        <v>31723</v>
      </c>
      <c r="I53" s="155">
        <v>1577</v>
      </c>
      <c r="J53" s="155">
        <v>104</v>
      </c>
      <c r="K53" s="155">
        <v>1645</v>
      </c>
      <c r="L53" s="155">
        <v>4517</v>
      </c>
      <c r="M53" s="40">
        <v>15914</v>
      </c>
      <c r="N53" s="40">
        <v>15928</v>
      </c>
      <c r="O53" s="40">
        <v>15865</v>
      </c>
      <c r="P53" s="106">
        <v>15871</v>
      </c>
      <c r="Q53" s="106">
        <v>15890</v>
      </c>
      <c r="R53" s="51">
        <v>28.6</v>
      </c>
      <c r="S53" s="51">
        <v>28.7</v>
      </c>
      <c r="T53" s="51">
        <v>29.329004329004327</v>
      </c>
      <c r="U53" s="51">
        <v>29.558068689229227</v>
      </c>
      <c r="V53" s="51">
        <v>30.335448024215282</v>
      </c>
      <c r="W53" s="38">
        <v>34.1</v>
      </c>
      <c r="X53" s="38">
        <v>34.1</v>
      </c>
      <c r="Y53" s="38">
        <v>33.49150849150849</v>
      </c>
      <c r="Z53" s="38">
        <v>33.873054292033551</v>
      </c>
      <c r="AA53" s="38">
        <v>33.723099888045773</v>
      </c>
      <c r="AB53" s="51">
        <v>62.6</v>
      </c>
      <c r="AC53" s="51">
        <v>62.8</v>
      </c>
      <c r="AD53" s="51">
        <v>62.820512820512818</v>
      </c>
      <c r="AE53" s="51">
        <v>63.431122981262774</v>
      </c>
      <c r="AF53" s="51">
        <v>64.058547912261062</v>
      </c>
      <c r="AG53" s="39">
        <v>4.4000000000000004</v>
      </c>
      <c r="AH53" s="39">
        <v>3.7386855568673751</v>
      </c>
      <c r="AI53" s="39">
        <v>3.2231283879474533</v>
      </c>
      <c r="AJ53" s="39">
        <v>3.1647427117980826</v>
      </c>
      <c r="AK53" s="39">
        <v>2.8939062879339645</v>
      </c>
      <c r="AL53" s="43">
        <v>2373.6666666666665</v>
      </c>
      <c r="AM53" s="43">
        <v>2175.25</v>
      </c>
      <c r="AN53" s="43">
        <v>2049.4166666666665</v>
      </c>
      <c r="AO53" s="43">
        <v>1946.9166666666667</v>
      </c>
      <c r="AP53" s="43">
        <v>1869.3333333333333</v>
      </c>
      <c r="AQ53" s="190">
        <v>41919.60929142683</v>
      </c>
      <c r="AR53" s="190">
        <v>42078.072632812102</v>
      </c>
      <c r="AS53" s="190">
        <v>45262.873900293256</v>
      </c>
      <c r="AT53" s="190">
        <v>45602.28149018206</v>
      </c>
      <c r="AU53" s="190">
        <v>45735.090000000004</v>
      </c>
      <c r="AV53" s="162">
        <v>48630.75</v>
      </c>
      <c r="AW53" s="162">
        <v>52498.16</v>
      </c>
      <c r="AX53" s="162">
        <v>49438.48</v>
      </c>
      <c r="AY53" s="161">
        <v>52404.340000000004</v>
      </c>
      <c r="AZ53" s="161">
        <v>55772</v>
      </c>
      <c r="BA53" s="49">
        <v>13.7</v>
      </c>
      <c r="BB53" s="49">
        <v>12.1</v>
      </c>
      <c r="BC53" s="49">
        <v>10.8</v>
      </c>
      <c r="BD53" s="49">
        <v>13.2</v>
      </c>
      <c r="BE53" s="49">
        <v>10.6</v>
      </c>
      <c r="BF53" s="42">
        <v>18.7</v>
      </c>
      <c r="BG53" s="42">
        <v>16.3</v>
      </c>
      <c r="BH53" s="42">
        <v>16.100000000000001</v>
      </c>
      <c r="BI53" s="42">
        <v>14.9</v>
      </c>
      <c r="BJ53" s="42">
        <v>13.7</v>
      </c>
      <c r="BK53" s="36">
        <v>6240</v>
      </c>
      <c r="BL53" s="36">
        <v>6277</v>
      </c>
      <c r="BM53" s="36">
        <v>6249</v>
      </c>
      <c r="BN53" s="36">
        <v>6899</v>
      </c>
      <c r="BO53" s="40">
        <v>52.291666666666664</v>
      </c>
      <c r="BP53" s="40">
        <v>51.983431575593436</v>
      </c>
      <c r="BQ53" s="40">
        <v>51.352216354616736</v>
      </c>
      <c r="BR53" s="40">
        <v>50.616031308885347</v>
      </c>
      <c r="BS53" s="51">
        <v>12.403846153846153</v>
      </c>
      <c r="BT53" s="51">
        <v>12.36259359566672</v>
      </c>
      <c r="BU53" s="51">
        <v>13.170107217154746</v>
      </c>
      <c r="BV53" s="51">
        <v>14.103493259892739</v>
      </c>
      <c r="BW53" s="39">
        <v>15.576923076923077</v>
      </c>
      <c r="BX53" s="39">
        <v>16.504699697307633</v>
      </c>
      <c r="BY53" s="39">
        <v>14.866378620579292</v>
      </c>
      <c r="BZ53" s="39">
        <v>18.104073054065807</v>
      </c>
      <c r="CA53" s="40">
        <v>78.333333333333329</v>
      </c>
      <c r="CB53" s="40">
        <v>75.809935205183592</v>
      </c>
      <c r="CC53" s="40">
        <v>76.239999999999995</v>
      </c>
      <c r="CD53" s="40">
        <v>78.930000000000007</v>
      </c>
      <c r="CE53" s="40">
        <v>8.3333333333333321</v>
      </c>
      <c r="CF53" s="40">
        <v>8.4967320261437909</v>
      </c>
      <c r="CG53" s="40">
        <v>10.18</v>
      </c>
      <c r="CH53" s="40">
        <v>9.15</v>
      </c>
      <c r="CI53" s="105">
        <v>2539</v>
      </c>
      <c r="CJ53" s="105">
        <v>2707</v>
      </c>
      <c r="CK53" s="104">
        <v>2745</v>
      </c>
      <c r="CL53" s="104">
        <v>2528</v>
      </c>
      <c r="CM53" s="39">
        <v>13.335854487391604</v>
      </c>
      <c r="CN53" s="39">
        <v>17.520695391028003</v>
      </c>
      <c r="CO53" s="39">
        <v>14.152548489879253</v>
      </c>
      <c r="CP53" s="39">
        <v>12.865467314689941</v>
      </c>
      <c r="CQ53" s="104">
        <v>119</v>
      </c>
      <c r="CR53" s="104">
        <v>122</v>
      </c>
      <c r="CS53" s="104">
        <v>123</v>
      </c>
      <c r="CT53" s="104">
        <v>121</v>
      </c>
      <c r="CU53" s="39">
        <v>4.8</v>
      </c>
      <c r="CV53" s="39">
        <v>4.7</v>
      </c>
      <c r="CW53" s="39">
        <v>4.7</v>
      </c>
      <c r="CX53" s="39">
        <v>5</v>
      </c>
      <c r="CY53" s="36">
        <v>180</v>
      </c>
      <c r="CZ53" s="104">
        <v>190</v>
      </c>
      <c r="DA53" s="104">
        <v>177</v>
      </c>
      <c r="DB53" s="104">
        <v>175</v>
      </c>
      <c r="DC53" s="39">
        <v>8</v>
      </c>
      <c r="DD53" s="39">
        <v>8.1999999999999993</v>
      </c>
      <c r="DE53" s="39">
        <v>7.1</v>
      </c>
      <c r="DF53" s="39">
        <v>7.2</v>
      </c>
      <c r="DG53" s="39">
        <v>74.2</v>
      </c>
      <c r="DH53" s="39">
        <v>70.099999999999994</v>
      </c>
      <c r="DI53" s="39">
        <v>68.7</v>
      </c>
      <c r="DJ53" s="39">
        <v>71.900000000000006</v>
      </c>
      <c r="DK53" s="39">
        <v>18.899999999999999</v>
      </c>
      <c r="DL53" s="39">
        <v>15.5</v>
      </c>
      <c r="DM53" s="39">
        <v>16.7</v>
      </c>
      <c r="DN53" s="39">
        <v>14.9</v>
      </c>
      <c r="DO53" s="39">
        <v>35.299999999999997</v>
      </c>
      <c r="DP53" s="39">
        <v>39.9</v>
      </c>
      <c r="DQ53" s="39">
        <v>43.9</v>
      </c>
      <c r="DR53" s="39">
        <v>41.3</v>
      </c>
      <c r="DS53" s="39">
        <v>41.6</v>
      </c>
      <c r="DT53" s="39">
        <v>44.9</v>
      </c>
      <c r="DU53" s="39">
        <v>37.299999999999997</v>
      </c>
      <c r="DV53" s="39">
        <v>25.7</v>
      </c>
      <c r="DW53" s="45">
        <v>319</v>
      </c>
      <c r="DX53" s="45">
        <v>47</v>
      </c>
      <c r="DY53" s="15">
        <v>1</v>
      </c>
      <c r="DZ53" s="45">
        <v>55</v>
      </c>
      <c r="EA53" s="45">
        <v>103</v>
      </c>
      <c r="EB53" s="45">
        <v>15</v>
      </c>
      <c r="EC53" s="45">
        <v>8</v>
      </c>
      <c r="ED53" s="45">
        <v>16</v>
      </c>
      <c r="EE53" s="45">
        <v>12</v>
      </c>
      <c r="EF53" s="104">
        <v>2080</v>
      </c>
      <c r="EG53" s="104">
        <v>1941</v>
      </c>
      <c r="EH53" s="104">
        <v>1890</v>
      </c>
      <c r="EI53" s="104">
        <v>2009</v>
      </c>
      <c r="EJ53" s="174">
        <v>427</v>
      </c>
      <c r="EK53" s="174">
        <v>3</v>
      </c>
      <c r="EL53" s="174">
        <v>1</v>
      </c>
      <c r="EM53" s="174">
        <v>4</v>
      </c>
      <c r="EN53" s="174">
        <v>6</v>
      </c>
      <c r="EO53" s="39">
        <v>1077.636</v>
      </c>
      <c r="EP53" s="39">
        <v>1000.5410000000001</v>
      </c>
      <c r="EQ53" s="39">
        <v>965.197</v>
      </c>
      <c r="ER53" s="39">
        <v>1027.201</v>
      </c>
      <c r="ES53" s="39">
        <v>701.30499999999995</v>
      </c>
      <c r="ET53" s="39">
        <v>611.67700000000002</v>
      </c>
      <c r="EU53" s="39">
        <v>614.46</v>
      </c>
      <c r="EV53" s="39">
        <v>654.58100000000002</v>
      </c>
      <c r="EW53" s="39">
        <v>840.64800000000002</v>
      </c>
      <c r="EX53" s="39">
        <v>749.76800000000003</v>
      </c>
      <c r="EY53" s="39">
        <v>778.68799999999999</v>
      </c>
      <c r="EZ53" s="39">
        <v>804.86699999999996</v>
      </c>
      <c r="FA53" s="39">
        <v>596.39599999999996</v>
      </c>
      <c r="FB53" s="39">
        <v>509.46300000000002</v>
      </c>
      <c r="FC53" s="39">
        <v>487.37700000000001</v>
      </c>
      <c r="FD53" s="39">
        <v>534.61500000000001</v>
      </c>
      <c r="FE53" s="44">
        <v>521</v>
      </c>
      <c r="FF53" s="44">
        <v>471</v>
      </c>
      <c r="FG53" s="44">
        <v>471</v>
      </c>
      <c r="FH53" s="44">
        <v>447</v>
      </c>
      <c r="FI53" s="39">
        <v>187.52699999999999</v>
      </c>
      <c r="FJ53" s="39">
        <v>167.816</v>
      </c>
      <c r="FK53" s="39">
        <v>167.65</v>
      </c>
      <c r="FL53" s="39">
        <v>158.21199999999999</v>
      </c>
      <c r="FM53" s="45">
        <v>523</v>
      </c>
      <c r="FN53" s="45">
        <v>428</v>
      </c>
      <c r="FO53" s="36">
        <v>362</v>
      </c>
      <c r="FP53" s="45">
        <v>449</v>
      </c>
      <c r="FQ53" s="39">
        <v>167.67400000000001</v>
      </c>
      <c r="FR53" s="39">
        <v>124.151</v>
      </c>
      <c r="FS53" s="39">
        <v>109.922</v>
      </c>
      <c r="FT53" s="39">
        <v>136.804</v>
      </c>
      <c r="FU53" s="43">
        <v>158</v>
      </c>
      <c r="FV53" s="43">
        <v>122</v>
      </c>
      <c r="FW53" s="43">
        <v>94</v>
      </c>
      <c r="FX53" s="45">
        <v>100</v>
      </c>
      <c r="FY53" s="39">
        <v>46.54</v>
      </c>
      <c r="FZ53" s="39">
        <v>34.167999999999999</v>
      </c>
      <c r="GA53" s="39">
        <v>27.393000000000001</v>
      </c>
      <c r="GB53" s="39">
        <v>28.96</v>
      </c>
      <c r="GC53" s="150">
        <v>87</v>
      </c>
      <c r="GD53" s="150">
        <v>90</v>
      </c>
      <c r="GE53" s="150">
        <v>97</v>
      </c>
      <c r="GF53" s="150">
        <v>128</v>
      </c>
      <c r="GG53" s="182">
        <v>36.914999999999999</v>
      </c>
      <c r="GH53" s="182">
        <v>31.695</v>
      </c>
      <c r="GI53" s="182">
        <v>38.433</v>
      </c>
      <c r="GJ53" s="182">
        <v>49.594999999999999</v>
      </c>
      <c r="GK53" s="182"/>
      <c r="GL53" s="114"/>
      <c r="GM53" s="114"/>
      <c r="GN53" s="114"/>
      <c r="GP53" s="114"/>
      <c r="GQ53" s="114"/>
      <c r="GR53" s="114"/>
      <c r="GS53" s="114"/>
      <c r="GU53" s="114"/>
      <c r="GV53" s="114"/>
      <c r="GW53" s="114"/>
      <c r="GX53" s="114"/>
      <c r="HE53" s="113"/>
      <c r="HF53" s="113"/>
      <c r="HG53" s="113"/>
      <c r="HH53" s="113"/>
      <c r="HI53" s="113"/>
      <c r="HJ53" s="115"/>
      <c r="HK53" s="115"/>
      <c r="HL53" s="114"/>
      <c r="HV53" s="116"/>
    </row>
    <row r="54" spans="1:230" x14ac:dyDescent="0.2">
      <c r="A54" s="128">
        <v>51</v>
      </c>
      <c r="B54" s="129" t="s">
        <v>97</v>
      </c>
      <c r="C54" s="117">
        <v>8533</v>
      </c>
      <c r="D54" s="117">
        <v>8470</v>
      </c>
      <c r="E54" s="117">
        <v>8413</v>
      </c>
      <c r="F54" s="117">
        <v>8329</v>
      </c>
      <c r="G54" s="151">
        <v>8346</v>
      </c>
      <c r="H54" s="155">
        <v>7819</v>
      </c>
      <c r="I54" s="155">
        <v>57</v>
      </c>
      <c r="J54" s="155">
        <v>21</v>
      </c>
      <c r="K54" s="155">
        <v>118</v>
      </c>
      <c r="L54" s="155">
        <v>331</v>
      </c>
      <c r="M54" s="40">
        <v>3679</v>
      </c>
      <c r="N54" s="40">
        <v>3669</v>
      </c>
      <c r="O54" s="40">
        <v>3657</v>
      </c>
      <c r="P54" s="106">
        <v>3644</v>
      </c>
      <c r="Q54" s="106">
        <v>3655</v>
      </c>
      <c r="R54" s="51">
        <v>40.5</v>
      </c>
      <c r="S54" s="51">
        <v>41</v>
      </c>
      <c r="T54" s="51">
        <v>41.849048885252607</v>
      </c>
      <c r="U54" s="51">
        <v>43.10703873386089</v>
      </c>
      <c r="V54" s="51">
        <v>43.714585519412381</v>
      </c>
      <c r="W54" s="38">
        <v>30.3</v>
      </c>
      <c r="X54" s="38">
        <v>30.8</v>
      </c>
      <c r="Y54" s="38">
        <v>30.231131110656577</v>
      </c>
      <c r="Z54" s="38">
        <v>30.341524364847984</v>
      </c>
      <c r="AA54" s="38">
        <v>31.437565582371459</v>
      </c>
      <c r="AB54" s="51">
        <v>70.8</v>
      </c>
      <c r="AC54" s="51">
        <v>71.8</v>
      </c>
      <c r="AD54" s="51">
        <v>72.080179995909191</v>
      </c>
      <c r="AE54" s="51">
        <v>73.448563098708874</v>
      </c>
      <c r="AF54" s="51">
        <v>75.152151101783844</v>
      </c>
      <c r="AG54" s="39">
        <v>4.3</v>
      </c>
      <c r="AH54" s="39">
        <v>4.7834120303839045</v>
      </c>
      <c r="AI54" s="39">
        <v>4.3689320388349513</v>
      </c>
      <c r="AJ54" s="39">
        <v>4.7830474268415735</v>
      </c>
      <c r="AK54" s="39">
        <v>4.6185567010309274</v>
      </c>
      <c r="AL54" s="43">
        <v>236.58333333333334</v>
      </c>
      <c r="AM54" s="43">
        <v>225.83333333333334</v>
      </c>
      <c r="AN54" s="43">
        <v>224.75</v>
      </c>
      <c r="AO54" s="43">
        <v>203</v>
      </c>
      <c r="AP54" s="43">
        <v>212.08333333333334</v>
      </c>
      <c r="AQ54" s="190">
        <v>59945.488061797754</v>
      </c>
      <c r="AR54" s="190">
        <v>55359.583086580591</v>
      </c>
      <c r="AS54" s="190">
        <v>57749.919163100334</v>
      </c>
      <c r="AT54" s="190">
        <v>54603.232080681955</v>
      </c>
      <c r="AU54" s="190">
        <v>52035.6</v>
      </c>
      <c r="AV54" s="162">
        <v>52870.65</v>
      </c>
      <c r="AW54" s="162">
        <v>55432</v>
      </c>
      <c r="AX54" s="162">
        <v>54307.76</v>
      </c>
      <c r="AY54" s="161">
        <v>51889.340000000004</v>
      </c>
      <c r="AZ54" s="161">
        <v>60682</v>
      </c>
      <c r="BA54" s="49">
        <v>9.6</v>
      </c>
      <c r="BB54" s="49">
        <v>9.6</v>
      </c>
      <c r="BC54" s="49">
        <v>9</v>
      </c>
      <c r="BD54" s="49">
        <v>9.3000000000000007</v>
      </c>
      <c r="BE54" s="49">
        <v>8.1999999999999993</v>
      </c>
      <c r="BF54" s="42">
        <v>13.1</v>
      </c>
      <c r="BG54" s="42">
        <v>13.3</v>
      </c>
      <c r="BH54" s="42">
        <v>12.7</v>
      </c>
      <c r="BI54" s="42">
        <v>12.7</v>
      </c>
      <c r="BJ54" s="42">
        <v>10.7</v>
      </c>
      <c r="BK54" s="36">
        <v>1085</v>
      </c>
      <c r="BL54" s="36">
        <v>1084</v>
      </c>
      <c r="BM54" s="36">
        <v>1055</v>
      </c>
      <c r="BN54" s="36">
        <v>1068</v>
      </c>
      <c r="BO54" s="40">
        <v>33.824884792626726</v>
      </c>
      <c r="BP54" s="40">
        <v>33.763837638376387</v>
      </c>
      <c r="BQ54" s="40">
        <v>31.469194312796208</v>
      </c>
      <c r="BR54" s="40">
        <v>33.146067415730336</v>
      </c>
      <c r="BS54" s="51">
        <v>1.3824884792626728</v>
      </c>
      <c r="BT54" s="51">
        <v>1.3837638376383763</v>
      </c>
      <c r="BU54" s="51">
        <v>1.7061611374407584</v>
      </c>
      <c r="BV54" s="51">
        <v>1.7790262172284643</v>
      </c>
      <c r="BW54" s="39">
        <v>13.548387096774194</v>
      </c>
      <c r="BX54" s="39">
        <v>15.682656826568266</v>
      </c>
      <c r="BY54" s="39">
        <v>14.597156398104266</v>
      </c>
      <c r="BZ54" s="39">
        <v>15.917602996254681</v>
      </c>
      <c r="CA54" s="40">
        <v>95.959595959595958</v>
      </c>
      <c r="CB54" s="40">
        <v>90.804597701149419</v>
      </c>
      <c r="CC54" s="40">
        <v>97.56</v>
      </c>
      <c r="CD54" s="40">
        <v>89.29</v>
      </c>
      <c r="CE54" s="40">
        <v>3.0303030303030303</v>
      </c>
      <c r="CF54" s="40">
        <v>2.2727272727272729</v>
      </c>
      <c r="CG54" s="40">
        <v>0</v>
      </c>
      <c r="CH54" s="40">
        <v>8.33</v>
      </c>
      <c r="CI54" s="105">
        <v>443</v>
      </c>
      <c r="CJ54" s="105">
        <v>462</v>
      </c>
      <c r="CK54" s="104">
        <v>444</v>
      </c>
      <c r="CL54" s="104">
        <v>435</v>
      </c>
      <c r="CM54" s="39">
        <v>9.5711353570271136</v>
      </c>
      <c r="CN54" s="39">
        <v>13.148907103825138</v>
      </c>
      <c r="CO54" s="39">
        <v>10.389124178112642</v>
      </c>
      <c r="CP54" s="39">
        <v>10.334750896866314</v>
      </c>
      <c r="CQ54" s="104">
        <v>17</v>
      </c>
      <c r="CR54" s="104">
        <v>17</v>
      </c>
      <c r="CS54" s="104">
        <v>19</v>
      </c>
      <c r="CT54" s="104">
        <v>14</v>
      </c>
      <c r="CU54" s="39">
        <v>4</v>
      </c>
      <c r="CV54" s="39">
        <v>3.8</v>
      </c>
      <c r="CW54" s="39">
        <v>4.4000000000000004</v>
      </c>
      <c r="CX54" s="39">
        <v>3.4</v>
      </c>
      <c r="CY54" s="36">
        <v>39</v>
      </c>
      <c r="CZ54" s="104">
        <v>36</v>
      </c>
      <c r="DA54" s="104">
        <v>47</v>
      </c>
      <c r="DB54" s="104">
        <v>21</v>
      </c>
      <c r="DC54" s="39">
        <v>10.3</v>
      </c>
      <c r="DD54" s="39">
        <v>8.8000000000000007</v>
      </c>
      <c r="DE54" s="39">
        <v>11.7</v>
      </c>
      <c r="DF54" s="39">
        <v>5</v>
      </c>
      <c r="DG54" s="39">
        <v>86.7</v>
      </c>
      <c r="DH54" s="39">
        <v>85.2</v>
      </c>
      <c r="DI54" s="39">
        <v>83</v>
      </c>
      <c r="DJ54" s="39">
        <v>87.7</v>
      </c>
      <c r="DK54" s="39">
        <v>12.4</v>
      </c>
      <c r="DL54" s="39">
        <v>13.9</v>
      </c>
      <c r="DM54" s="39">
        <v>16</v>
      </c>
      <c r="DN54" s="39">
        <v>13.7</v>
      </c>
      <c r="DO54" s="39">
        <v>20.5</v>
      </c>
      <c r="DP54" s="39">
        <v>26.2</v>
      </c>
      <c r="DQ54" s="39">
        <v>33.299999999999997</v>
      </c>
      <c r="DR54" s="39">
        <v>28</v>
      </c>
      <c r="DS54" s="39">
        <v>21.2</v>
      </c>
      <c r="DT54" s="39">
        <v>32</v>
      </c>
      <c r="DU54" s="39">
        <v>28.8</v>
      </c>
      <c r="DV54" s="39">
        <v>8.8000000000000007</v>
      </c>
      <c r="DW54" s="45">
        <v>80</v>
      </c>
      <c r="DX54" s="45">
        <v>0</v>
      </c>
      <c r="DY54" s="15">
        <v>0</v>
      </c>
      <c r="DZ54" s="45">
        <v>1</v>
      </c>
      <c r="EA54" s="45">
        <v>6</v>
      </c>
      <c r="EB54" s="45">
        <v>1</v>
      </c>
      <c r="EC54" s="45">
        <v>5</v>
      </c>
      <c r="ED54" s="45"/>
      <c r="EE54" s="45">
        <v>2</v>
      </c>
      <c r="EF54" s="104">
        <v>504</v>
      </c>
      <c r="EG54" s="104">
        <v>497</v>
      </c>
      <c r="EH54" s="104">
        <v>502</v>
      </c>
      <c r="EI54" s="104">
        <v>504</v>
      </c>
      <c r="EJ54" s="174">
        <v>112</v>
      </c>
      <c r="EK54" s="174"/>
      <c r="EL54" s="174"/>
      <c r="EM54" s="174">
        <v>1</v>
      </c>
      <c r="EN54" s="174"/>
      <c r="EO54" s="39">
        <v>1099.836</v>
      </c>
      <c r="EP54" s="39">
        <v>1122.9100000000001</v>
      </c>
      <c r="EQ54" s="39">
        <v>1150.7159999999999</v>
      </c>
      <c r="ER54" s="39">
        <v>1198.146</v>
      </c>
      <c r="ES54" s="39">
        <v>651.16399999999999</v>
      </c>
      <c r="ET54" s="39">
        <v>624.48800000000006</v>
      </c>
      <c r="EU54" s="39">
        <v>624.33100000000002</v>
      </c>
      <c r="EV54" s="39">
        <v>625.44399999999996</v>
      </c>
      <c r="EW54" s="39">
        <v>873.54399999999998</v>
      </c>
      <c r="EX54" s="39">
        <v>749.64599999999996</v>
      </c>
      <c r="EY54" s="39">
        <v>746.71799999999996</v>
      </c>
      <c r="EZ54" s="39">
        <v>725.71100000000001</v>
      </c>
      <c r="FA54" s="39">
        <v>478.79700000000003</v>
      </c>
      <c r="FB54" s="39">
        <v>515.31299999999999</v>
      </c>
      <c r="FC54" s="39">
        <v>523.59299999999996</v>
      </c>
      <c r="FD54" s="39">
        <v>528</v>
      </c>
      <c r="FE54" s="44">
        <v>125</v>
      </c>
      <c r="FF54" s="44">
        <v>138</v>
      </c>
      <c r="FG54" s="44">
        <v>112</v>
      </c>
      <c r="FH54" s="44">
        <v>108</v>
      </c>
      <c r="FI54" s="39">
        <v>167.52199999999999</v>
      </c>
      <c r="FJ54" s="39">
        <v>185.69399999999999</v>
      </c>
      <c r="FK54" s="39">
        <v>140.524</v>
      </c>
      <c r="FL54" s="39">
        <v>151.14699999999999</v>
      </c>
      <c r="FM54" s="45">
        <v>177</v>
      </c>
      <c r="FN54" s="45">
        <v>134</v>
      </c>
      <c r="FO54" s="36">
        <v>128</v>
      </c>
      <c r="FP54" s="45">
        <v>111</v>
      </c>
      <c r="FQ54" s="39">
        <v>220.184</v>
      </c>
      <c r="FR54" s="39">
        <v>140.39099999999999</v>
      </c>
      <c r="FS54" s="39">
        <v>148.84399999999999</v>
      </c>
      <c r="FT54" s="39">
        <v>118.833</v>
      </c>
      <c r="FU54" s="43">
        <v>41</v>
      </c>
      <c r="FV54" s="43">
        <v>26</v>
      </c>
      <c r="FW54" s="43">
        <v>29</v>
      </c>
      <c r="FX54" s="45">
        <v>36</v>
      </c>
      <c r="FY54" s="39">
        <v>49.747</v>
      </c>
      <c r="FZ54" s="39">
        <v>28.591999999999999</v>
      </c>
      <c r="GA54" s="39">
        <v>32.972999999999999</v>
      </c>
      <c r="GB54" s="39">
        <v>40.161999999999999</v>
      </c>
      <c r="GC54" s="150">
        <v>16</v>
      </c>
      <c r="GD54" s="150">
        <v>27</v>
      </c>
      <c r="GE54" s="150">
        <v>25</v>
      </c>
      <c r="GF54" s="150">
        <v>32</v>
      </c>
      <c r="GG54" s="182">
        <v>25.568000000000001</v>
      </c>
      <c r="GH54" s="182">
        <v>52.701999999999998</v>
      </c>
      <c r="GI54" s="182">
        <v>40.991</v>
      </c>
      <c r="GJ54" s="182">
        <v>56.874000000000002</v>
      </c>
      <c r="GK54" s="182"/>
      <c r="GL54" s="114"/>
      <c r="GM54" s="114"/>
      <c r="GN54" s="114"/>
      <c r="GP54" s="114"/>
      <c r="GQ54" s="114"/>
      <c r="GR54" s="114"/>
      <c r="GS54" s="114"/>
      <c r="GU54" s="114"/>
      <c r="GV54" s="114"/>
      <c r="GW54" s="114"/>
      <c r="GX54" s="114"/>
      <c r="HE54" s="113"/>
      <c r="HF54" s="113"/>
      <c r="HG54" s="113"/>
      <c r="HH54" s="113"/>
      <c r="HI54" s="113"/>
      <c r="HJ54" s="115"/>
      <c r="HK54" s="115"/>
      <c r="HL54" s="114"/>
      <c r="HV54" s="116"/>
    </row>
    <row r="55" spans="1:230" ht="21" customHeight="1" x14ac:dyDescent="0.2">
      <c r="A55" s="128">
        <v>52</v>
      </c>
      <c r="B55" s="129" t="s">
        <v>98</v>
      </c>
      <c r="C55" s="117">
        <v>33032</v>
      </c>
      <c r="D55" s="117">
        <v>33093</v>
      </c>
      <c r="E55" s="117">
        <v>33347</v>
      </c>
      <c r="F55" s="117">
        <v>33575</v>
      </c>
      <c r="G55" s="151">
        <v>33966</v>
      </c>
      <c r="H55" s="155">
        <v>30443</v>
      </c>
      <c r="I55" s="155">
        <v>1279</v>
      </c>
      <c r="J55" s="155">
        <v>120</v>
      </c>
      <c r="K55" s="155">
        <v>602</v>
      </c>
      <c r="L55" s="155">
        <v>1522</v>
      </c>
      <c r="M55" s="40">
        <v>12410</v>
      </c>
      <c r="N55" s="40">
        <v>12534</v>
      </c>
      <c r="O55" s="40">
        <v>12608</v>
      </c>
      <c r="P55" s="106">
        <v>12726</v>
      </c>
      <c r="Q55" s="106">
        <v>12860</v>
      </c>
      <c r="R55" s="51">
        <v>19.8</v>
      </c>
      <c r="S55" s="51">
        <v>20.5</v>
      </c>
      <c r="T55" s="51">
        <v>21.632107023411372</v>
      </c>
      <c r="U55" s="51">
        <v>22.727068849517828</v>
      </c>
      <c r="V55" s="51">
        <v>23.980868943322008</v>
      </c>
      <c r="W55" s="38">
        <v>27.6</v>
      </c>
      <c r="X55" s="38">
        <v>27</v>
      </c>
      <c r="Y55" s="38">
        <v>27.072463768115938</v>
      </c>
      <c r="Z55" s="38">
        <v>27.867234806010316</v>
      </c>
      <c r="AA55" s="38">
        <v>27.842839263364922</v>
      </c>
      <c r="AB55" s="51">
        <v>47.4</v>
      </c>
      <c r="AC55" s="51">
        <v>47.5</v>
      </c>
      <c r="AD55" s="51">
        <v>48.70457079152731</v>
      </c>
      <c r="AE55" s="51">
        <v>50.594303655528151</v>
      </c>
      <c r="AF55" s="51">
        <v>51.823708206686923</v>
      </c>
      <c r="AG55" s="39">
        <v>3.8</v>
      </c>
      <c r="AH55" s="39">
        <v>2.9848484848484849</v>
      </c>
      <c r="AI55" s="39">
        <v>2.6680578327619617</v>
      </c>
      <c r="AJ55" s="39">
        <v>2.842110439101146</v>
      </c>
      <c r="AK55" s="39">
        <v>2.6527920269676093</v>
      </c>
      <c r="AL55" s="43">
        <v>1091.0833333333333</v>
      </c>
      <c r="AM55" s="43">
        <v>1040.5</v>
      </c>
      <c r="AN55" s="43">
        <v>984.16666666666663</v>
      </c>
      <c r="AO55" s="43">
        <v>949.16666666666663</v>
      </c>
      <c r="AP55" s="43">
        <v>923.58333333333337</v>
      </c>
      <c r="AQ55" s="190">
        <v>45950.750167041246</v>
      </c>
      <c r="AR55" s="190">
        <v>45747.651426338416</v>
      </c>
      <c r="AS55" s="190">
        <v>47325.090865542952</v>
      </c>
      <c r="AT55" s="190">
        <v>47150.378257632168</v>
      </c>
      <c r="AU55" s="190">
        <v>48872.47</v>
      </c>
      <c r="AV55" s="162">
        <v>61826.100000000006</v>
      </c>
      <c r="AW55" s="162">
        <v>60964.800000000003</v>
      </c>
      <c r="AX55" s="162">
        <v>63730.16</v>
      </c>
      <c r="AY55" s="161">
        <v>60604.17</v>
      </c>
      <c r="AZ55" s="161">
        <v>66944</v>
      </c>
      <c r="BA55" s="49">
        <v>11.4</v>
      </c>
      <c r="BB55" s="49">
        <v>10.199999999999999</v>
      </c>
      <c r="BC55" s="49">
        <v>10.7</v>
      </c>
      <c r="BD55" s="49">
        <v>8</v>
      </c>
      <c r="BE55" s="49">
        <v>8.8000000000000007</v>
      </c>
      <c r="BF55" s="42">
        <v>11.7</v>
      </c>
      <c r="BG55" s="42">
        <v>11.4</v>
      </c>
      <c r="BH55" s="42">
        <v>11.6</v>
      </c>
      <c r="BI55" s="42">
        <v>10.7</v>
      </c>
      <c r="BJ55" s="42">
        <v>9.5</v>
      </c>
      <c r="BK55" s="36">
        <v>2510</v>
      </c>
      <c r="BL55" s="36">
        <v>2625</v>
      </c>
      <c r="BM55" s="36">
        <v>2575</v>
      </c>
      <c r="BN55" s="36">
        <v>5040</v>
      </c>
      <c r="BO55" s="40">
        <v>37.689243027888445</v>
      </c>
      <c r="BP55" s="40">
        <v>38.666666666666664</v>
      </c>
      <c r="BQ55" s="40">
        <v>38.990291262135919</v>
      </c>
      <c r="BR55" s="40">
        <v>32.797619047619051</v>
      </c>
      <c r="BS55" s="51">
        <v>3.7051792828685257</v>
      </c>
      <c r="BT55" s="51">
        <v>4.1523809523809527</v>
      </c>
      <c r="BU55" s="51">
        <v>6.058252427184466</v>
      </c>
      <c r="BV55" s="51">
        <v>6.1706349206349209</v>
      </c>
      <c r="BW55" s="39">
        <v>18.247011952191237</v>
      </c>
      <c r="BX55" s="39">
        <v>18.62857142857143</v>
      </c>
      <c r="BY55" s="39">
        <v>15.339805825242719</v>
      </c>
      <c r="BZ55" s="39">
        <v>16.30952380952381</v>
      </c>
      <c r="CA55" s="40">
        <v>86.842105263157904</v>
      </c>
      <c r="CB55" s="40">
        <v>90.588235294117652</v>
      </c>
      <c r="CC55" s="40">
        <v>84.47</v>
      </c>
      <c r="CD55" s="40">
        <v>92.59</v>
      </c>
      <c r="CE55" s="40">
        <v>3.2894736842105261</v>
      </c>
      <c r="CF55" s="40">
        <v>4.117647058823529</v>
      </c>
      <c r="CG55" s="40">
        <v>6.83</v>
      </c>
      <c r="CH55" s="40">
        <v>2.12</v>
      </c>
      <c r="CI55" s="105">
        <v>1819</v>
      </c>
      <c r="CJ55" s="105">
        <v>2001</v>
      </c>
      <c r="CK55" s="104">
        <v>1967</v>
      </c>
      <c r="CL55" s="104">
        <v>1926</v>
      </c>
      <c r="CM55" s="39">
        <v>12.200193164135859</v>
      </c>
      <c r="CN55" s="39">
        <v>16.050372984679555</v>
      </c>
      <c r="CO55" s="39">
        <v>12.087729755971658</v>
      </c>
      <c r="CP55" s="39">
        <v>11.532036428301989</v>
      </c>
      <c r="CQ55" s="104">
        <v>70</v>
      </c>
      <c r="CR55" s="104">
        <v>84</v>
      </c>
      <c r="CS55" s="104">
        <v>73</v>
      </c>
      <c r="CT55" s="104">
        <v>80</v>
      </c>
      <c r="CU55" s="39">
        <v>4</v>
      </c>
      <c r="CV55" s="39">
        <v>4.3</v>
      </c>
      <c r="CW55" s="39">
        <v>3.8</v>
      </c>
      <c r="CX55" s="39">
        <v>4.3</v>
      </c>
      <c r="CY55" s="36">
        <v>104</v>
      </c>
      <c r="CZ55" s="104">
        <v>156</v>
      </c>
      <c r="DA55" s="104">
        <v>118</v>
      </c>
      <c r="DB55" s="104">
        <v>105</v>
      </c>
      <c r="DC55" s="39">
        <v>6.2</v>
      </c>
      <c r="DD55" s="39">
        <v>8.5</v>
      </c>
      <c r="DE55" s="39">
        <v>6.3</v>
      </c>
      <c r="DF55" s="39">
        <v>5.7</v>
      </c>
      <c r="DG55" s="39">
        <v>88.3</v>
      </c>
      <c r="DH55" s="39">
        <v>89.9</v>
      </c>
      <c r="DI55" s="39">
        <v>89.7</v>
      </c>
      <c r="DJ55" s="39">
        <v>87.1</v>
      </c>
      <c r="DK55" s="39">
        <v>11.4</v>
      </c>
      <c r="DL55" s="39">
        <v>8.9</v>
      </c>
      <c r="DM55" s="39">
        <v>7.8</v>
      </c>
      <c r="DN55" s="39">
        <v>7.8</v>
      </c>
      <c r="DO55" s="39">
        <v>22.3</v>
      </c>
      <c r="DP55" s="39">
        <v>27.3</v>
      </c>
      <c r="DQ55" s="39">
        <v>30.3</v>
      </c>
      <c r="DR55" s="39">
        <v>28.3</v>
      </c>
      <c r="DS55" s="39">
        <v>15.1</v>
      </c>
      <c r="DT55" s="39">
        <v>16.600000000000001</v>
      </c>
      <c r="DU55" s="39">
        <v>14.3</v>
      </c>
      <c r="DV55" s="39">
        <v>7.8</v>
      </c>
      <c r="DW55" s="45">
        <v>309</v>
      </c>
      <c r="DX55" s="45">
        <v>32</v>
      </c>
      <c r="DY55" s="15">
        <v>1</v>
      </c>
      <c r="DZ55" s="45">
        <v>4</v>
      </c>
      <c r="EA55" s="45">
        <v>31</v>
      </c>
      <c r="EB55" s="45">
        <v>5</v>
      </c>
      <c r="EC55" s="45">
        <v>11</v>
      </c>
      <c r="ED55" s="45">
        <v>14</v>
      </c>
      <c r="EE55" s="45">
        <v>8</v>
      </c>
      <c r="EF55" s="104">
        <v>908</v>
      </c>
      <c r="EG55" s="104">
        <v>984</v>
      </c>
      <c r="EH55" s="104">
        <v>1019</v>
      </c>
      <c r="EI55" s="104">
        <v>1152</v>
      </c>
      <c r="EJ55" s="174">
        <v>234</v>
      </c>
      <c r="EK55" s="174"/>
      <c r="EL55" s="174"/>
      <c r="EM55" s="174">
        <v>2</v>
      </c>
      <c r="EN55" s="174">
        <v>3</v>
      </c>
      <c r="EO55" s="39">
        <v>609.99</v>
      </c>
      <c r="EP55" s="39">
        <v>637.96699999999998</v>
      </c>
      <c r="EQ55" s="39">
        <v>622.72699999999998</v>
      </c>
      <c r="ER55" s="39">
        <v>690.91700000000003</v>
      </c>
      <c r="ES55" s="39">
        <v>683.18200000000002</v>
      </c>
      <c r="ET55" s="39">
        <v>640.49</v>
      </c>
      <c r="EU55" s="39">
        <v>602.62400000000002</v>
      </c>
      <c r="EV55" s="39">
        <v>585.41899999999998</v>
      </c>
      <c r="EW55" s="39">
        <v>873.36400000000003</v>
      </c>
      <c r="EX55" s="39">
        <v>708.49300000000005</v>
      </c>
      <c r="EY55" s="39">
        <v>752.86599999999999</v>
      </c>
      <c r="EZ55" s="39">
        <v>700.52700000000004</v>
      </c>
      <c r="FA55" s="39">
        <v>554.26499999999999</v>
      </c>
      <c r="FB55" s="39">
        <v>582.17899999999997</v>
      </c>
      <c r="FC55" s="39">
        <v>494.47899999999998</v>
      </c>
      <c r="FD55" s="39">
        <v>489.68700000000001</v>
      </c>
      <c r="FE55" s="44">
        <v>251</v>
      </c>
      <c r="FF55" s="44">
        <v>259</v>
      </c>
      <c r="FG55" s="44">
        <v>233</v>
      </c>
      <c r="FH55" s="44">
        <v>257</v>
      </c>
      <c r="FI55" s="39">
        <v>191.70099999999999</v>
      </c>
      <c r="FJ55" s="39">
        <v>172.18600000000001</v>
      </c>
      <c r="FK55" s="39">
        <v>138.392</v>
      </c>
      <c r="FL55" s="39">
        <v>132.828</v>
      </c>
      <c r="FM55" s="45">
        <v>220</v>
      </c>
      <c r="FN55" s="45">
        <v>218</v>
      </c>
      <c r="FO55" s="36">
        <v>192</v>
      </c>
      <c r="FP55" s="45">
        <v>227</v>
      </c>
      <c r="FQ55" s="39">
        <v>165.72800000000001</v>
      </c>
      <c r="FR55" s="39">
        <v>140.80099999999999</v>
      </c>
      <c r="FS55" s="39">
        <v>112.02800000000001</v>
      </c>
      <c r="FT55" s="39">
        <v>115.14100000000001</v>
      </c>
      <c r="FU55" s="43">
        <v>61</v>
      </c>
      <c r="FV55" s="43">
        <v>67</v>
      </c>
      <c r="FW55" s="43">
        <v>72</v>
      </c>
      <c r="FX55" s="45">
        <v>60</v>
      </c>
      <c r="FY55" s="39">
        <v>46.287999999999997</v>
      </c>
      <c r="FZ55" s="39">
        <v>43.939</v>
      </c>
      <c r="GA55" s="39">
        <v>42.06</v>
      </c>
      <c r="GB55" s="39">
        <v>28.535</v>
      </c>
      <c r="GC55" s="150">
        <v>36</v>
      </c>
      <c r="GD55" s="150">
        <v>43</v>
      </c>
      <c r="GE55" s="150">
        <v>39</v>
      </c>
      <c r="GF55" s="150">
        <v>59</v>
      </c>
      <c r="GG55" s="182">
        <v>24.486000000000001</v>
      </c>
      <c r="GH55" s="182">
        <v>27.497</v>
      </c>
      <c r="GI55" s="182">
        <v>22.791</v>
      </c>
      <c r="GJ55" s="182">
        <v>32.317999999999998</v>
      </c>
      <c r="GK55" s="182"/>
      <c r="GL55" s="114"/>
      <c r="GM55" s="114"/>
      <c r="GN55" s="114"/>
      <c r="GP55" s="114"/>
      <c r="GQ55" s="114"/>
      <c r="GR55" s="114"/>
      <c r="GS55" s="114"/>
      <c r="GU55" s="114"/>
      <c r="GV55" s="114"/>
      <c r="GW55" s="114"/>
      <c r="GX55" s="114"/>
      <c r="HE55" s="113"/>
      <c r="HF55" s="113"/>
      <c r="HG55" s="113"/>
      <c r="HH55" s="113"/>
      <c r="HI55" s="113"/>
      <c r="HJ55" s="115"/>
      <c r="HK55" s="115"/>
      <c r="HL55" s="114"/>
      <c r="HV55" s="116"/>
    </row>
    <row r="56" spans="1:230" x14ac:dyDescent="0.2">
      <c r="A56" s="128">
        <v>53</v>
      </c>
      <c r="B56" s="129" t="s">
        <v>99</v>
      </c>
      <c r="C56" s="117">
        <v>21617</v>
      </c>
      <c r="D56" s="117">
        <v>21590</v>
      </c>
      <c r="E56" s="117">
        <v>21770</v>
      </c>
      <c r="F56" s="117">
        <v>21848</v>
      </c>
      <c r="G56" s="151">
        <v>21944</v>
      </c>
      <c r="H56" s="155">
        <v>13070</v>
      </c>
      <c r="I56" s="155">
        <v>1140</v>
      </c>
      <c r="J56" s="155">
        <v>77</v>
      </c>
      <c r="K56" s="155">
        <v>1454</v>
      </c>
      <c r="L56" s="155">
        <v>6203</v>
      </c>
      <c r="M56" s="40">
        <v>8018</v>
      </c>
      <c r="N56" s="40">
        <v>8016</v>
      </c>
      <c r="O56" s="40">
        <v>8024</v>
      </c>
      <c r="P56" s="106">
        <v>8031</v>
      </c>
      <c r="Q56" s="106">
        <v>8088</v>
      </c>
      <c r="R56" s="51">
        <v>25.5</v>
      </c>
      <c r="S56" s="51">
        <v>25.4</v>
      </c>
      <c r="T56" s="51">
        <v>25.277095886334894</v>
      </c>
      <c r="U56" s="51">
        <v>25.804294524110261</v>
      </c>
      <c r="V56" s="51">
        <v>26.481095564156</v>
      </c>
      <c r="W56" s="38">
        <v>35.700000000000003</v>
      </c>
      <c r="X56" s="38">
        <v>36</v>
      </c>
      <c r="Y56" s="38">
        <v>36.665922785092611</v>
      </c>
      <c r="Z56" s="38">
        <v>36.525744854744033</v>
      </c>
      <c r="AA56" s="38">
        <v>36.841321821970823</v>
      </c>
      <c r="AB56" s="51">
        <v>61.2</v>
      </c>
      <c r="AC56" s="51">
        <v>61.4</v>
      </c>
      <c r="AD56" s="51">
        <v>61.94301867142751</v>
      </c>
      <c r="AE56" s="51">
        <v>62.330039378854295</v>
      </c>
      <c r="AF56" s="51">
        <v>63.32241738612683</v>
      </c>
      <c r="AG56" s="39">
        <v>3.9</v>
      </c>
      <c r="AH56" s="39">
        <v>3.3778966131907309</v>
      </c>
      <c r="AI56" s="39">
        <v>3.221895028581327</v>
      </c>
      <c r="AJ56" s="39">
        <v>3.8102780711017248</v>
      </c>
      <c r="AK56" s="39">
        <v>3.3446006048745773</v>
      </c>
      <c r="AL56" s="43">
        <v>1038.3333333333333</v>
      </c>
      <c r="AM56" s="43">
        <v>997</v>
      </c>
      <c r="AN56" s="43">
        <v>891</v>
      </c>
      <c r="AO56" s="43">
        <v>874.16666666666663</v>
      </c>
      <c r="AP56" s="43">
        <v>821.83333333333337</v>
      </c>
      <c r="AQ56" s="190">
        <v>43417.041379310351</v>
      </c>
      <c r="AR56" s="190">
        <v>44284.702617704192</v>
      </c>
      <c r="AS56" s="190">
        <v>46094.598701478106</v>
      </c>
      <c r="AT56" s="190">
        <v>43598.917521054565</v>
      </c>
      <c r="AU56" s="190">
        <v>43408.32</v>
      </c>
      <c r="AV56" s="162">
        <v>50098.65</v>
      </c>
      <c r="AW56" s="162">
        <v>52973.440000000002</v>
      </c>
      <c r="AX56" s="162">
        <v>52711.360000000001</v>
      </c>
      <c r="AY56" s="161">
        <v>51603</v>
      </c>
      <c r="AZ56" s="161">
        <v>49935</v>
      </c>
      <c r="BA56" s="49">
        <v>14.2</v>
      </c>
      <c r="BB56" s="49">
        <v>13</v>
      </c>
      <c r="BC56" s="49">
        <v>12.9</v>
      </c>
      <c r="BD56" s="49">
        <v>11.6</v>
      </c>
      <c r="BE56" s="49">
        <v>12.8</v>
      </c>
      <c r="BF56" s="42">
        <v>19.399999999999999</v>
      </c>
      <c r="BG56" s="42">
        <v>18.100000000000001</v>
      </c>
      <c r="BH56" s="42">
        <v>17.2</v>
      </c>
      <c r="BI56" s="42">
        <v>15.3</v>
      </c>
      <c r="BJ56" s="42">
        <v>17.8</v>
      </c>
      <c r="BK56" s="36">
        <v>3903</v>
      </c>
      <c r="BL56" s="36">
        <v>4123</v>
      </c>
      <c r="BM56" s="36">
        <v>4215</v>
      </c>
      <c r="BN56" s="36">
        <v>4566</v>
      </c>
      <c r="BO56" s="40">
        <v>64.616961311811423</v>
      </c>
      <c r="BP56" s="40">
        <v>63.909774436090224</v>
      </c>
      <c r="BQ56" s="40">
        <v>62.799525504151838</v>
      </c>
      <c r="BR56" s="40">
        <v>61.979851073149362</v>
      </c>
      <c r="BS56" s="51">
        <v>22.136817832436588</v>
      </c>
      <c r="BT56" s="51">
        <v>27.11617754062576</v>
      </c>
      <c r="BU56" s="51">
        <v>27.069988137603797</v>
      </c>
      <c r="BV56" s="51">
        <v>25.624178712220765</v>
      </c>
      <c r="BW56" s="39">
        <v>13.886753779144248</v>
      </c>
      <c r="BX56" s="39">
        <v>13.145767644918749</v>
      </c>
      <c r="BY56" s="39">
        <v>12.455516014234876</v>
      </c>
      <c r="BZ56" s="39">
        <v>13.359614542268943</v>
      </c>
      <c r="CA56" s="40">
        <v>80.06535947712419</v>
      </c>
      <c r="CB56" s="40">
        <v>81.914893617021278</v>
      </c>
      <c r="CC56" s="40">
        <v>74.92</v>
      </c>
      <c r="CD56" s="40">
        <v>77.52</v>
      </c>
      <c r="CE56" s="40">
        <v>6.8627450980392162</v>
      </c>
      <c r="CF56" s="40">
        <v>6.9930069930069934</v>
      </c>
      <c r="CG56" s="40">
        <v>11.15</v>
      </c>
      <c r="CH56" s="40">
        <v>10.74</v>
      </c>
      <c r="CI56" s="105">
        <v>1475</v>
      </c>
      <c r="CJ56" s="105">
        <v>1688</v>
      </c>
      <c r="CK56" s="104">
        <v>1788</v>
      </c>
      <c r="CL56" s="104">
        <v>1858</v>
      </c>
      <c r="CM56" s="39">
        <v>14.683922349427576</v>
      </c>
      <c r="CN56" s="39">
        <v>20.696927340052479</v>
      </c>
      <c r="CO56" s="39">
        <v>16.998621476446264</v>
      </c>
      <c r="CP56" s="39">
        <v>17.082073017128042</v>
      </c>
      <c r="CQ56" s="104">
        <v>61</v>
      </c>
      <c r="CR56" s="104">
        <v>98</v>
      </c>
      <c r="CS56" s="104">
        <v>69</v>
      </c>
      <c r="CT56" s="104">
        <v>63</v>
      </c>
      <c r="CU56" s="39">
        <v>4.3</v>
      </c>
      <c r="CV56" s="39">
        <v>6</v>
      </c>
      <c r="CW56" s="39">
        <v>4</v>
      </c>
      <c r="CX56" s="39">
        <v>3.5</v>
      </c>
      <c r="CY56" s="36">
        <v>122</v>
      </c>
      <c r="CZ56" s="104">
        <v>159</v>
      </c>
      <c r="DA56" s="104">
        <v>154</v>
      </c>
      <c r="DB56" s="104">
        <v>98</v>
      </c>
      <c r="DC56" s="39">
        <v>9.5</v>
      </c>
      <c r="DD56" s="39">
        <v>10.7</v>
      </c>
      <c r="DE56" s="39">
        <v>9.9</v>
      </c>
      <c r="DF56" s="39">
        <v>5.4</v>
      </c>
      <c r="DG56" s="39">
        <v>78.7</v>
      </c>
      <c r="DH56" s="39">
        <v>79.2</v>
      </c>
      <c r="DI56" s="39">
        <v>78.5</v>
      </c>
      <c r="DJ56" s="39">
        <v>80.2</v>
      </c>
      <c r="DK56" s="39">
        <v>5.7</v>
      </c>
      <c r="DL56" s="39">
        <v>6.7</v>
      </c>
      <c r="DM56" s="39">
        <v>6.7</v>
      </c>
      <c r="DN56" s="39">
        <v>4.5</v>
      </c>
      <c r="DO56" s="39">
        <v>34.4</v>
      </c>
      <c r="DP56" s="39">
        <v>45.6</v>
      </c>
      <c r="DQ56" s="39">
        <v>48.4</v>
      </c>
      <c r="DR56" s="39">
        <v>46.1</v>
      </c>
      <c r="DS56" s="39">
        <v>40.1</v>
      </c>
      <c r="DT56" s="39">
        <v>57.1</v>
      </c>
      <c r="DU56" s="39">
        <v>57.8</v>
      </c>
      <c r="DV56" s="39">
        <v>42.2</v>
      </c>
      <c r="DW56" s="45">
        <v>167</v>
      </c>
      <c r="DX56" s="45">
        <v>26</v>
      </c>
      <c r="DY56" s="15">
        <v>2</v>
      </c>
      <c r="DZ56" s="45">
        <v>19</v>
      </c>
      <c r="EA56" s="45">
        <v>166</v>
      </c>
      <c r="EB56" s="45">
        <v>6</v>
      </c>
      <c r="EC56" s="45">
        <v>11</v>
      </c>
      <c r="ED56" s="45">
        <v>8</v>
      </c>
      <c r="EE56" s="45">
        <v>10</v>
      </c>
      <c r="EF56" s="104">
        <v>976</v>
      </c>
      <c r="EG56" s="104">
        <v>923</v>
      </c>
      <c r="EH56" s="104">
        <v>869</v>
      </c>
      <c r="EI56" s="104">
        <v>912</v>
      </c>
      <c r="EJ56" s="174">
        <v>174</v>
      </c>
      <c r="EK56" s="174">
        <v>2</v>
      </c>
      <c r="EL56" s="174">
        <v>1</v>
      </c>
      <c r="EM56" s="174">
        <v>7</v>
      </c>
      <c r="EN56" s="174">
        <v>4</v>
      </c>
      <c r="EO56" s="39">
        <v>937.02</v>
      </c>
      <c r="EP56" s="39">
        <v>900.13699999999994</v>
      </c>
      <c r="EQ56" s="39">
        <v>812.98500000000001</v>
      </c>
      <c r="ER56" s="39">
        <v>837.85</v>
      </c>
      <c r="ES56" s="39">
        <v>653.74199999999996</v>
      </c>
      <c r="ET56" s="39">
        <v>602.69500000000005</v>
      </c>
      <c r="EU56" s="39">
        <v>571.04999999999995</v>
      </c>
      <c r="EV56" s="39">
        <v>617.99199999999996</v>
      </c>
      <c r="EW56" s="39">
        <v>869.42700000000002</v>
      </c>
      <c r="EX56" s="39">
        <v>755.68799999999999</v>
      </c>
      <c r="EY56" s="39">
        <v>660.18700000000001</v>
      </c>
      <c r="EZ56" s="39">
        <v>709.16300000000001</v>
      </c>
      <c r="FA56" s="39">
        <v>504.98500000000001</v>
      </c>
      <c r="FB56" s="39">
        <v>496.53100000000001</v>
      </c>
      <c r="FC56" s="39">
        <v>499.839</v>
      </c>
      <c r="FD56" s="39">
        <v>546.077</v>
      </c>
      <c r="FE56" s="44">
        <v>238</v>
      </c>
      <c r="FF56" s="44">
        <v>212</v>
      </c>
      <c r="FG56" s="44">
        <v>186</v>
      </c>
      <c r="FH56" s="44">
        <v>242</v>
      </c>
      <c r="FI56" s="39">
        <v>172.04499999999999</v>
      </c>
      <c r="FJ56" s="39">
        <v>150.19900000000001</v>
      </c>
      <c r="FK56" s="39">
        <v>132.941</v>
      </c>
      <c r="FL56" s="39">
        <v>177.76900000000001</v>
      </c>
      <c r="FM56" s="45">
        <v>272</v>
      </c>
      <c r="FN56" s="45">
        <v>236</v>
      </c>
      <c r="FO56" s="36">
        <v>160</v>
      </c>
      <c r="FP56" s="45">
        <v>213</v>
      </c>
      <c r="FQ56" s="39">
        <v>173.643</v>
      </c>
      <c r="FR56" s="39">
        <v>145.369</v>
      </c>
      <c r="FS56" s="39">
        <v>99.947999999999993</v>
      </c>
      <c r="FT56" s="39">
        <v>134.22499999999999</v>
      </c>
      <c r="FU56" s="43">
        <v>72</v>
      </c>
      <c r="FV56" s="43">
        <v>64</v>
      </c>
      <c r="FW56" s="43">
        <v>36</v>
      </c>
      <c r="FX56" s="45">
        <v>42</v>
      </c>
      <c r="FY56" s="39">
        <v>44.643999999999998</v>
      </c>
      <c r="FZ56" s="39">
        <v>39.326000000000001</v>
      </c>
      <c r="GA56" s="39">
        <v>23.077000000000002</v>
      </c>
      <c r="GB56" s="39">
        <v>27.222999999999999</v>
      </c>
      <c r="GC56" s="150">
        <v>36</v>
      </c>
      <c r="GD56" s="150">
        <v>44</v>
      </c>
      <c r="GE56" s="150">
        <v>40</v>
      </c>
      <c r="GF56" s="150">
        <v>40</v>
      </c>
      <c r="GG56" s="182">
        <v>30.067</v>
      </c>
      <c r="GH56" s="182">
        <v>38.197000000000003</v>
      </c>
      <c r="GI56" s="182">
        <v>33.061999999999998</v>
      </c>
      <c r="GJ56" s="182">
        <v>30.407</v>
      </c>
      <c r="GK56" s="182"/>
      <c r="GL56" s="114"/>
      <c r="GM56" s="114"/>
      <c r="GN56" s="114"/>
      <c r="GP56" s="114"/>
      <c r="GQ56" s="114"/>
      <c r="GR56" s="114"/>
      <c r="GS56" s="114"/>
      <c r="GU56" s="114"/>
      <c r="GV56" s="114"/>
      <c r="GW56" s="114"/>
      <c r="GX56" s="114"/>
      <c r="HE56" s="113"/>
      <c r="HF56" s="113"/>
      <c r="HG56" s="113"/>
      <c r="HH56" s="113"/>
      <c r="HI56" s="113"/>
      <c r="HJ56" s="115"/>
      <c r="HK56" s="115"/>
      <c r="HL56" s="114"/>
      <c r="HV56" s="116"/>
    </row>
    <row r="57" spans="1:230" x14ac:dyDescent="0.2">
      <c r="A57" s="128">
        <v>54</v>
      </c>
      <c r="B57" s="129" t="s">
        <v>100</v>
      </c>
      <c r="C57" s="117">
        <v>6631</v>
      </c>
      <c r="D57" s="117">
        <v>6639</v>
      </c>
      <c r="E57" s="117">
        <v>6678</v>
      </c>
      <c r="F57" s="117">
        <v>6579</v>
      </c>
      <c r="G57" s="151">
        <v>6597</v>
      </c>
      <c r="H57" s="155">
        <v>5997</v>
      </c>
      <c r="I57" s="155">
        <v>78</v>
      </c>
      <c r="J57" s="155">
        <v>150</v>
      </c>
      <c r="K57" s="155">
        <v>40</v>
      </c>
      <c r="L57" s="155">
        <v>332</v>
      </c>
      <c r="M57" s="40">
        <v>2792</v>
      </c>
      <c r="N57" s="40">
        <v>2791</v>
      </c>
      <c r="O57" s="40">
        <v>2776</v>
      </c>
      <c r="P57" s="106">
        <v>2765</v>
      </c>
      <c r="Q57" s="106">
        <v>2775</v>
      </c>
      <c r="R57" s="51">
        <v>36.4</v>
      </c>
      <c r="S57" s="51">
        <v>36.6</v>
      </c>
      <c r="T57" s="51">
        <v>36.110414052697614</v>
      </c>
      <c r="U57" s="51">
        <v>36.724756535110195</v>
      </c>
      <c r="V57" s="51">
        <v>34.577553593947037</v>
      </c>
      <c r="W57" s="38">
        <v>30.6</v>
      </c>
      <c r="X57" s="38">
        <v>31.4</v>
      </c>
      <c r="Y57" s="38">
        <v>31.468005018820577</v>
      </c>
      <c r="Z57" s="38">
        <v>31.881086622245004</v>
      </c>
      <c r="AA57" s="38">
        <v>31.803278688524589</v>
      </c>
      <c r="AB57" s="51">
        <v>66.900000000000006</v>
      </c>
      <c r="AC57" s="51">
        <v>67.900000000000006</v>
      </c>
      <c r="AD57" s="51">
        <v>67.578419071518198</v>
      </c>
      <c r="AE57" s="51">
        <v>68.60584315735521</v>
      </c>
      <c r="AF57" s="51">
        <v>66.38083228247163</v>
      </c>
      <c r="AG57" s="39">
        <v>5.2</v>
      </c>
      <c r="AH57" s="39">
        <v>4.8993086865043587</v>
      </c>
      <c r="AI57" s="39">
        <v>4.716157205240175</v>
      </c>
      <c r="AJ57" s="39">
        <v>4.8617176128093158</v>
      </c>
      <c r="AK57" s="39">
        <v>4.9415204678362574</v>
      </c>
      <c r="AL57" s="43">
        <v>328.5</v>
      </c>
      <c r="AM57" s="43">
        <v>301.5</v>
      </c>
      <c r="AN57" s="43">
        <v>274.5</v>
      </c>
      <c r="AO57" s="43">
        <v>286.5</v>
      </c>
      <c r="AP57" s="43">
        <v>285</v>
      </c>
      <c r="AQ57" s="190">
        <v>53985.200480552638</v>
      </c>
      <c r="AR57" s="190">
        <v>45066.771131535337</v>
      </c>
      <c r="AS57" s="190">
        <v>45056.378896882496</v>
      </c>
      <c r="AT57" s="190">
        <v>44356.694026447796</v>
      </c>
      <c r="AU57" s="190">
        <v>38534.36</v>
      </c>
      <c r="AV57" s="162">
        <v>47295.15</v>
      </c>
      <c r="AW57" s="162">
        <v>47087.040000000001</v>
      </c>
      <c r="AX57" s="162">
        <v>53660.880000000005</v>
      </c>
      <c r="AY57" s="161">
        <v>52298.25</v>
      </c>
      <c r="AZ57" s="161">
        <v>50481</v>
      </c>
      <c r="BA57" s="49">
        <v>13.6</v>
      </c>
      <c r="BB57" s="49">
        <v>13.4</v>
      </c>
      <c r="BC57" s="49">
        <v>11.7</v>
      </c>
      <c r="BD57" s="49">
        <v>12.1</v>
      </c>
      <c r="BE57" s="49">
        <v>12.7</v>
      </c>
      <c r="BF57" s="42">
        <v>19.8</v>
      </c>
      <c r="BG57" s="42">
        <v>19</v>
      </c>
      <c r="BH57" s="42">
        <v>17.600000000000001</v>
      </c>
      <c r="BI57" s="42">
        <v>18.899999999999999</v>
      </c>
      <c r="BJ57" s="42">
        <v>17.899999999999999</v>
      </c>
      <c r="BK57" s="36">
        <v>1068</v>
      </c>
      <c r="BL57" s="36">
        <v>1062</v>
      </c>
      <c r="BM57" s="36">
        <v>1045</v>
      </c>
      <c r="BN57" s="36">
        <v>1108</v>
      </c>
      <c r="BO57" s="40">
        <v>44.850187265917604</v>
      </c>
      <c r="BP57" s="40">
        <v>48.681732580037668</v>
      </c>
      <c r="BQ57" s="40">
        <v>47.655502392344495</v>
      </c>
      <c r="BR57" s="40">
        <v>43.321299638989167</v>
      </c>
      <c r="BS57" s="51">
        <v>0.74906367041198507</v>
      </c>
      <c r="BT57" s="51">
        <v>0.75329566854990582</v>
      </c>
      <c r="BU57" s="51">
        <v>1.4354066985645932</v>
      </c>
      <c r="BV57" s="51">
        <v>1.1732851985559567</v>
      </c>
      <c r="BW57" s="39">
        <v>16.198501872659175</v>
      </c>
      <c r="BX57" s="39">
        <v>16.007532956685498</v>
      </c>
      <c r="BY57" s="39">
        <v>15.980861244019138</v>
      </c>
      <c r="BZ57" s="39">
        <v>18.953068592057761</v>
      </c>
      <c r="CA57" s="40">
        <v>92.631578947368425</v>
      </c>
      <c r="CB57" s="40">
        <v>93.258426966292134</v>
      </c>
      <c r="CC57" s="40">
        <v>93.33</v>
      </c>
      <c r="CD57" s="40">
        <v>87.18</v>
      </c>
      <c r="CE57" s="40">
        <v>3.1578947368421053</v>
      </c>
      <c r="CF57" s="40">
        <v>4.5977011494252871</v>
      </c>
      <c r="CG57" s="40">
        <v>1.33</v>
      </c>
      <c r="CH57" s="40">
        <v>7.69</v>
      </c>
      <c r="CI57" s="105">
        <v>358</v>
      </c>
      <c r="CJ57" s="105">
        <v>374</v>
      </c>
      <c r="CK57" s="104">
        <v>361</v>
      </c>
      <c r="CL57" s="104">
        <v>378</v>
      </c>
      <c r="CM57" s="39">
        <v>9.6345336132192259</v>
      </c>
      <c r="CN57" s="39">
        <v>13.539441769539875</v>
      </c>
      <c r="CO57" s="39">
        <v>10.803531348196918</v>
      </c>
      <c r="CP57" s="39">
        <v>11.411665257819104</v>
      </c>
      <c r="CQ57" s="104">
        <v>12</v>
      </c>
      <c r="CR57" s="104">
        <v>18</v>
      </c>
      <c r="CS57" s="104">
        <v>18</v>
      </c>
      <c r="CT57" s="104">
        <v>20</v>
      </c>
      <c r="CU57" s="39">
        <v>3.4</v>
      </c>
      <c r="CV57" s="39">
        <v>5</v>
      </c>
      <c r="CW57" s="39">
        <v>5.3</v>
      </c>
      <c r="CX57" s="39">
        <v>5.5</v>
      </c>
      <c r="CY57" s="36">
        <v>22</v>
      </c>
      <c r="CZ57" s="104">
        <v>38</v>
      </c>
      <c r="DA57" s="104">
        <v>31</v>
      </c>
      <c r="DB57" s="104">
        <v>26</v>
      </c>
      <c r="DC57" s="39">
        <v>6.8</v>
      </c>
      <c r="DD57" s="39">
        <v>11.5</v>
      </c>
      <c r="DE57" s="39">
        <v>9.9</v>
      </c>
      <c r="DF57" s="39">
        <v>7.2</v>
      </c>
      <c r="DG57" s="39">
        <v>82.6</v>
      </c>
      <c r="DH57" s="39">
        <v>81.900000000000006</v>
      </c>
      <c r="DI57" s="39">
        <v>82.6</v>
      </c>
      <c r="DJ57" s="39">
        <v>73.8</v>
      </c>
      <c r="DK57" s="39">
        <v>21.8</v>
      </c>
      <c r="DL57" s="39">
        <v>18</v>
      </c>
      <c r="DM57" s="39">
        <v>19.100000000000001</v>
      </c>
      <c r="DN57" s="39">
        <v>16.7</v>
      </c>
      <c r="DO57" s="39">
        <v>22.9</v>
      </c>
      <c r="DP57" s="39">
        <v>31.3</v>
      </c>
      <c r="DQ57" s="39">
        <v>34.6</v>
      </c>
      <c r="DR57" s="39">
        <v>36.5</v>
      </c>
      <c r="DS57" s="39">
        <v>19.8</v>
      </c>
      <c r="DT57" s="39">
        <v>21.3</v>
      </c>
      <c r="DU57" s="39">
        <v>20.7</v>
      </c>
      <c r="DV57" s="39">
        <v>21.8</v>
      </c>
      <c r="DW57" s="45">
        <v>75</v>
      </c>
      <c r="DX57" s="45">
        <v>3</v>
      </c>
      <c r="DY57" s="15">
        <v>2</v>
      </c>
      <c r="DZ57" s="45">
        <v>0</v>
      </c>
      <c r="EA57" s="45">
        <v>0</v>
      </c>
      <c r="EB57" s="45">
        <v>1</v>
      </c>
      <c r="EC57" s="45">
        <v>1</v>
      </c>
      <c r="ED57" s="45"/>
      <c r="EE57" s="45">
        <v>2</v>
      </c>
      <c r="EF57" s="104">
        <v>490</v>
      </c>
      <c r="EG57" s="104">
        <v>515</v>
      </c>
      <c r="EH57" s="104">
        <v>469</v>
      </c>
      <c r="EI57" s="104">
        <v>488</v>
      </c>
      <c r="EJ57" s="174">
        <v>111</v>
      </c>
      <c r="EK57" s="174"/>
      <c r="EL57" s="174">
        <v>3</v>
      </c>
      <c r="EM57" s="174"/>
      <c r="EN57" s="174">
        <v>1</v>
      </c>
      <c r="EO57" s="39">
        <v>1316.85</v>
      </c>
      <c r="EP57" s="39">
        <v>1470.798</v>
      </c>
      <c r="EQ57" s="39">
        <v>1368.943</v>
      </c>
      <c r="ER57" s="39">
        <v>1461.5150000000001</v>
      </c>
      <c r="ES57" s="39">
        <v>794.90599999999995</v>
      </c>
      <c r="ET57" s="39">
        <v>884.59</v>
      </c>
      <c r="EU57" s="39">
        <v>753.74900000000002</v>
      </c>
      <c r="EV57" s="39">
        <v>827.17</v>
      </c>
      <c r="EW57" s="39">
        <v>1020.8049999999999</v>
      </c>
      <c r="EX57" s="39">
        <v>1123.9469999999999</v>
      </c>
      <c r="EY57" s="39">
        <v>910.40200000000004</v>
      </c>
      <c r="EZ57" s="39">
        <v>981.79399999999998</v>
      </c>
      <c r="FA57" s="39">
        <v>626.36500000000001</v>
      </c>
      <c r="FB57" s="39">
        <v>694.51099999999997</v>
      </c>
      <c r="FC57" s="39">
        <v>602.202</v>
      </c>
      <c r="FD57" s="39">
        <v>691.95100000000002</v>
      </c>
      <c r="FE57" s="44">
        <v>112</v>
      </c>
      <c r="FF57" s="44">
        <v>121</v>
      </c>
      <c r="FG57" s="44">
        <v>97</v>
      </c>
      <c r="FH57" s="44">
        <v>88</v>
      </c>
      <c r="FI57" s="39">
        <v>189.43</v>
      </c>
      <c r="FJ57" s="39">
        <v>219.34700000000001</v>
      </c>
      <c r="FK57" s="39">
        <v>166.166</v>
      </c>
      <c r="FL57" s="39">
        <v>157.71199999999999</v>
      </c>
      <c r="FM57" s="45">
        <v>112</v>
      </c>
      <c r="FN57" s="45">
        <v>111</v>
      </c>
      <c r="FO57" s="36">
        <v>91</v>
      </c>
      <c r="FP57" s="45">
        <v>100</v>
      </c>
      <c r="FQ57" s="39">
        <v>172.93299999999999</v>
      </c>
      <c r="FR57" s="39">
        <v>175.46600000000001</v>
      </c>
      <c r="FS57" s="39">
        <v>140.166</v>
      </c>
      <c r="FT57" s="39">
        <v>158.81</v>
      </c>
      <c r="FU57" s="43">
        <v>39</v>
      </c>
      <c r="FV57" s="43">
        <v>27</v>
      </c>
      <c r="FW57" s="43">
        <v>22</v>
      </c>
      <c r="FX57" s="45">
        <v>20</v>
      </c>
      <c r="FY57" s="39">
        <v>56.924999999999997</v>
      </c>
      <c r="FZ57" s="39">
        <v>41.768999999999998</v>
      </c>
      <c r="GA57" s="39">
        <v>29.998000000000001</v>
      </c>
      <c r="GB57" s="39">
        <v>29.129000000000001</v>
      </c>
      <c r="GC57" s="150">
        <v>20</v>
      </c>
      <c r="GD57" s="150">
        <v>23</v>
      </c>
      <c r="GE57" s="150">
        <v>17</v>
      </c>
      <c r="GF57" s="150">
        <v>26</v>
      </c>
      <c r="GG57" s="182">
        <v>49.429000000000002</v>
      </c>
      <c r="GH57" s="182">
        <v>65.820999999999998</v>
      </c>
      <c r="GI57" s="182">
        <v>42.091999999999999</v>
      </c>
      <c r="GJ57" s="182">
        <v>65.352999999999994</v>
      </c>
      <c r="GK57" s="182"/>
      <c r="GL57" s="114"/>
      <c r="GM57" s="114"/>
      <c r="GN57" s="114"/>
      <c r="GP57" s="114"/>
      <c r="GQ57" s="114"/>
      <c r="GR57" s="114"/>
      <c r="GS57" s="114"/>
      <c r="GU57" s="114"/>
      <c r="GV57" s="114"/>
      <c r="GW57" s="114"/>
      <c r="GX57" s="114"/>
      <c r="HE57" s="113"/>
      <c r="HF57" s="113"/>
      <c r="HG57" s="113"/>
      <c r="HH57" s="113"/>
      <c r="HI57" s="113"/>
      <c r="HJ57" s="115"/>
      <c r="HK57" s="115"/>
      <c r="HL57" s="114"/>
      <c r="HV57" s="116"/>
    </row>
    <row r="58" spans="1:230" x14ac:dyDescent="0.2">
      <c r="A58" s="128">
        <v>55</v>
      </c>
      <c r="B58" s="129" t="s">
        <v>101</v>
      </c>
      <c r="C58" s="117">
        <v>149226</v>
      </c>
      <c r="D58" s="117">
        <v>150287</v>
      </c>
      <c r="E58" s="117">
        <v>151436</v>
      </c>
      <c r="F58" s="117">
        <v>153102</v>
      </c>
      <c r="G58" s="151">
        <v>154930</v>
      </c>
      <c r="H58" s="155">
        <v>126201</v>
      </c>
      <c r="I58" s="155">
        <v>10055</v>
      </c>
      <c r="J58" s="155">
        <v>427</v>
      </c>
      <c r="K58" s="155">
        <v>10440</v>
      </c>
      <c r="L58" s="155">
        <v>7807</v>
      </c>
      <c r="M58" s="40">
        <v>58866</v>
      </c>
      <c r="N58" s="40">
        <v>59365</v>
      </c>
      <c r="O58" s="40">
        <v>59862</v>
      </c>
      <c r="P58" s="106">
        <v>60962</v>
      </c>
      <c r="Q58" s="106">
        <v>62295</v>
      </c>
      <c r="R58" s="51">
        <v>20.9</v>
      </c>
      <c r="S58" s="51">
        <v>21.5</v>
      </c>
      <c r="T58" s="51">
        <v>22.201260427076747</v>
      </c>
      <c r="U58" s="51">
        <v>22.886253041362529</v>
      </c>
      <c r="V58" s="51">
        <v>23.335775433807367</v>
      </c>
      <c r="W58" s="38">
        <v>32.299999999999997</v>
      </c>
      <c r="X58" s="38">
        <v>32</v>
      </c>
      <c r="Y58" s="38">
        <v>32.227570312659338</v>
      </c>
      <c r="Z58" s="38">
        <v>32.326642335766422</v>
      </c>
      <c r="AA58" s="38">
        <v>32.152427213697173</v>
      </c>
      <c r="AB58" s="51">
        <v>53.2</v>
      </c>
      <c r="AC58" s="51">
        <v>53.5</v>
      </c>
      <c r="AD58" s="51">
        <v>54.428830739736092</v>
      </c>
      <c r="AE58" s="51">
        <v>55.212895377128959</v>
      </c>
      <c r="AF58" s="51">
        <v>55.488202647504536</v>
      </c>
      <c r="AG58" s="39">
        <v>4.0999999999999996</v>
      </c>
      <c r="AH58" s="39">
        <v>3.3858030275616668</v>
      </c>
      <c r="AI58" s="39">
        <v>2.9670145538108006</v>
      </c>
      <c r="AJ58" s="39">
        <v>3.0042816647492083</v>
      </c>
      <c r="AK58" s="39">
        <v>2.8208081615382805</v>
      </c>
      <c r="AL58" s="43">
        <v>5897.333333333333</v>
      </c>
      <c r="AM58" s="43">
        <v>5636.583333333333</v>
      </c>
      <c r="AN58" s="43">
        <v>5237.666666666667</v>
      </c>
      <c r="AO58" s="43">
        <v>5040.25</v>
      </c>
      <c r="AP58" s="43">
        <v>4917.833333333333</v>
      </c>
      <c r="AQ58" s="190">
        <v>49889.883448632179</v>
      </c>
      <c r="AR58" s="190">
        <v>50980.416344590456</v>
      </c>
      <c r="AS58" s="190">
        <v>53069.298583149866</v>
      </c>
      <c r="AT58" s="190">
        <v>54148.027458818302</v>
      </c>
      <c r="AU58" s="190">
        <v>55819.82</v>
      </c>
      <c r="AV58" s="162">
        <v>67604.25</v>
      </c>
      <c r="AW58" s="162">
        <v>68462.16</v>
      </c>
      <c r="AX58" s="162">
        <v>72207.199999999997</v>
      </c>
      <c r="AY58" s="161">
        <v>72164.89</v>
      </c>
      <c r="AZ58" s="161">
        <v>77110</v>
      </c>
      <c r="BA58" s="49">
        <v>8.3000000000000007</v>
      </c>
      <c r="BB58" s="49">
        <v>9.8000000000000007</v>
      </c>
      <c r="BC58" s="49">
        <v>8.9</v>
      </c>
      <c r="BD58" s="49">
        <v>8.6</v>
      </c>
      <c r="BE58" s="49">
        <v>8.3000000000000007</v>
      </c>
      <c r="BF58" s="42">
        <v>10.3</v>
      </c>
      <c r="BG58" s="42">
        <v>12.9</v>
      </c>
      <c r="BH58" s="42">
        <v>11.1</v>
      </c>
      <c r="BI58" s="42">
        <v>9.9</v>
      </c>
      <c r="BJ58" s="42">
        <v>9.9</v>
      </c>
      <c r="BK58" s="36">
        <v>23529</v>
      </c>
      <c r="BL58" s="36">
        <v>24087</v>
      </c>
      <c r="BM58" s="36">
        <v>23856</v>
      </c>
      <c r="BN58" s="36">
        <v>24319</v>
      </c>
      <c r="BO58" s="40">
        <v>35.704874835309617</v>
      </c>
      <c r="BP58" s="40">
        <v>35.367625690206339</v>
      </c>
      <c r="BQ58" s="40">
        <v>33.035714285714285</v>
      </c>
      <c r="BR58" s="40">
        <v>33.813067971544882</v>
      </c>
      <c r="BS58" s="51">
        <v>9.4266649666369169</v>
      </c>
      <c r="BT58" s="51">
        <v>10.113339145597211</v>
      </c>
      <c r="BU58" s="51">
        <v>8.6602951039570755</v>
      </c>
      <c r="BV58" s="51">
        <v>8.6228874542538758</v>
      </c>
      <c r="BW58" s="39">
        <v>13.893493136129882</v>
      </c>
      <c r="BX58" s="39">
        <v>14.526508074895172</v>
      </c>
      <c r="BY58" s="39">
        <v>13.52699530516432</v>
      </c>
      <c r="BZ58" s="39">
        <v>16.036843620214647</v>
      </c>
      <c r="CA58" s="40">
        <v>81.632653061224488</v>
      </c>
      <c r="CB58" s="40">
        <v>84.865162355531098</v>
      </c>
      <c r="CC58" s="40">
        <v>84.86</v>
      </c>
      <c r="CD58" s="40">
        <v>86.06</v>
      </c>
      <c r="CE58" s="40">
        <v>4.9886621315192743</v>
      </c>
      <c r="CF58" s="40">
        <v>4.0087863811092808</v>
      </c>
      <c r="CG58" s="40">
        <v>4.84</v>
      </c>
      <c r="CH58" s="40">
        <v>4.09</v>
      </c>
      <c r="CI58" s="105">
        <v>9337</v>
      </c>
      <c r="CJ58" s="105">
        <v>10968</v>
      </c>
      <c r="CK58" s="104">
        <v>10915</v>
      </c>
      <c r="CL58" s="104">
        <v>10803</v>
      </c>
      <c r="CM58" s="39">
        <v>15.165148581749197</v>
      </c>
      <c r="CN58" s="39">
        <v>20.097482317587129</v>
      </c>
      <c r="CO58" s="39">
        <v>15.109253119787377</v>
      </c>
      <c r="CP58" s="39">
        <v>14.233557888800906</v>
      </c>
      <c r="CQ58" s="104">
        <v>409</v>
      </c>
      <c r="CR58" s="104">
        <v>500</v>
      </c>
      <c r="CS58" s="104">
        <v>474</v>
      </c>
      <c r="CT58" s="104">
        <v>462</v>
      </c>
      <c r="CU58" s="39">
        <v>4.5999999999999996</v>
      </c>
      <c r="CV58" s="39">
        <v>4.7</v>
      </c>
      <c r="CW58" s="39">
        <v>4.5</v>
      </c>
      <c r="CX58" s="39">
        <v>4.4000000000000004</v>
      </c>
      <c r="CY58" s="36">
        <v>695</v>
      </c>
      <c r="CZ58" s="104">
        <v>853</v>
      </c>
      <c r="DA58" s="104">
        <v>677</v>
      </c>
      <c r="DB58" s="104">
        <v>607</v>
      </c>
      <c r="DC58" s="39">
        <v>8.6</v>
      </c>
      <c r="DD58" s="39">
        <v>8.3000000000000007</v>
      </c>
      <c r="DE58" s="39">
        <v>6.6</v>
      </c>
      <c r="DF58" s="39">
        <v>5.8</v>
      </c>
      <c r="DG58" s="39">
        <v>88.3</v>
      </c>
      <c r="DH58" s="39">
        <v>93</v>
      </c>
      <c r="DI58" s="39">
        <v>91.1</v>
      </c>
      <c r="DJ58" s="39">
        <v>80.900000000000006</v>
      </c>
      <c r="DK58" s="39">
        <v>8.3000000000000007</v>
      </c>
      <c r="DL58" s="39">
        <v>7</v>
      </c>
      <c r="DM58" s="39">
        <v>7.2</v>
      </c>
      <c r="DN58" s="39">
        <v>7</v>
      </c>
      <c r="DO58" s="39">
        <v>20.100000000000001</v>
      </c>
      <c r="DP58" s="39">
        <v>24.8</v>
      </c>
      <c r="DQ58" s="39">
        <v>27.2</v>
      </c>
      <c r="DR58" s="39">
        <v>24.7</v>
      </c>
      <c r="DS58" s="39">
        <v>26.3</v>
      </c>
      <c r="DT58" s="39">
        <v>25.7</v>
      </c>
      <c r="DU58" s="39">
        <v>21.3</v>
      </c>
      <c r="DV58" s="39">
        <v>13</v>
      </c>
      <c r="DW58" s="45">
        <v>1554</v>
      </c>
      <c r="DX58" s="45">
        <v>236</v>
      </c>
      <c r="DY58" s="15">
        <v>5</v>
      </c>
      <c r="DZ58" s="45">
        <v>194</v>
      </c>
      <c r="EA58" s="45">
        <v>121</v>
      </c>
      <c r="EB58" s="45">
        <v>48</v>
      </c>
      <c r="EC58" s="45">
        <v>50</v>
      </c>
      <c r="ED58" s="45">
        <v>77</v>
      </c>
      <c r="EE58" s="45">
        <v>33</v>
      </c>
      <c r="EF58" s="104">
        <v>3932</v>
      </c>
      <c r="EG58" s="104">
        <v>4066</v>
      </c>
      <c r="EH58" s="104">
        <v>4511</v>
      </c>
      <c r="EI58" s="104">
        <v>5113</v>
      </c>
      <c r="EJ58" s="174">
        <v>1002</v>
      </c>
      <c r="EK58" s="174">
        <v>22</v>
      </c>
      <c r="EL58" s="174">
        <v>3</v>
      </c>
      <c r="EM58" s="174">
        <v>25</v>
      </c>
      <c r="EN58" s="174">
        <v>4</v>
      </c>
      <c r="EO58" s="39">
        <v>632.78</v>
      </c>
      <c r="EP58" s="39">
        <v>601.52800000000002</v>
      </c>
      <c r="EQ58" s="39">
        <v>625.45100000000002</v>
      </c>
      <c r="ER58" s="39">
        <v>675.26900000000001</v>
      </c>
      <c r="ES58" s="39">
        <v>676.774</v>
      </c>
      <c r="ET58" s="39">
        <v>591.77800000000002</v>
      </c>
      <c r="EU58" s="39">
        <v>583.47199999999998</v>
      </c>
      <c r="EV58" s="39">
        <v>560.89099999999996</v>
      </c>
      <c r="EW58" s="39">
        <v>834.38099999999997</v>
      </c>
      <c r="EX58" s="39">
        <v>698.42899999999997</v>
      </c>
      <c r="EY58" s="39">
        <v>688.21600000000001</v>
      </c>
      <c r="EZ58" s="39">
        <v>670.44</v>
      </c>
      <c r="FA58" s="39">
        <v>562.90499999999997</v>
      </c>
      <c r="FB58" s="39">
        <v>497.81099999999998</v>
      </c>
      <c r="FC58" s="39">
        <v>499.77100000000002</v>
      </c>
      <c r="FD58" s="39">
        <v>469.82299999999998</v>
      </c>
      <c r="FE58" s="44">
        <v>995</v>
      </c>
      <c r="FF58" s="44">
        <v>1021</v>
      </c>
      <c r="FG58" s="44">
        <v>1126</v>
      </c>
      <c r="FH58" s="44">
        <v>1110</v>
      </c>
      <c r="FI58" s="39">
        <v>177.08199999999999</v>
      </c>
      <c r="FJ58" s="39">
        <v>154.37299999999999</v>
      </c>
      <c r="FK58" s="39">
        <v>149.64699999999999</v>
      </c>
      <c r="FL58" s="39">
        <v>125.657</v>
      </c>
      <c r="FM58" s="45">
        <v>967</v>
      </c>
      <c r="FN58" s="45">
        <v>888</v>
      </c>
      <c r="FO58" s="36">
        <v>908</v>
      </c>
      <c r="FP58" s="45">
        <v>1146</v>
      </c>
      <c r="FQ58" s="39">
        <v>165.26599999999999</v>
      </c>
      <c r="FR58" s="39">
        <v>128.24299999999999</v>
      </c>
      <c r="FS58" s="39">
        <v>115.42</v>
      </c>
      <c r="FT58" s="39">
        <v>121.518</v>
      </c>
      <c r="FU58" s="43">
        <v>274</v>
      </c>
      <c r="FV58" s="43">
        <v>215</v>
      </c>
      <c r="FW58" s="43">
        <v>224</v>
      </c>
      <c r="FX58" s="45">
        <v>247</v>
      </c>
      <c r="FY58" s="39">
        <v>46.759</v>
      </c>
      <c r="FZ58" s="39">
        <v>30.725999999999999</v>
      </c>
      <c r="GA58" s="39">
        <v>28.355</v>
      </c>
      <c r="GB58" s="39">
        <v>26.282</v>
      </c>
      <c r="GC58" s="150">
        <v>211</v>
      </c>
      <c r="GD58" s="150">
        <v>233</v>
      </c>
      <c r="GE58" s="150">
        <v>260</v>
      </c>
      <c r="GF58" s="150">
        <v>371</v>
      </c>
      <c r="GG58" s="182">
        <v>35.290999999999997</v>
      </c>
      <c r="GH58" s="182">
        <v>33.395000000000003</v>
      </c>
      <c r="GI58" s="182">
        <v>34.186999999999998</v>
      </c>
      <c r="GJ58" s="182">
        <v>42.927</v>
      </c>
      <c r="GK58" s="182"/>
      <c r="GL58" s="114"/>
      <c r="GM58" s="114"/>
      <c r="GN58" s="114"/>
      <c r="GP58" s="114"/>
      <c r="GQ58" s="114"/>
      <c r="GR58" s="114"/>
      <c r="GS58" s="114"/>
      <c r="GU58" s="114"/>
      <c r="GV58" s="114"/>
      <c r="GW58" s="114"/>
      <c r="GX58" s="114"/>
      <c r="HE58" s="113"/>
      <c r="HF58" s="113"/>
      <c r="HG58" s="113"/>
      <c r="HH58" s="113"/>
      <c r="HI58" s="113"/>
      <c r="HJ58" s="115"/>
      <c r="HK58" s="115"/>
      <c r="HL58" s="114"/>
      <c r="HV58" s="116"/>
    </row>
    <row r="59" spans="1:230" x14ac:dyDescent="0.2">
      <c r="A59" s="128">
        <v>56</v>
      </c>
      <c r="B59" s="129" t="s">
        <v>102</v>
      </c>
      <c r="C59" s="117">
        <v>57581</v>
      </c>
      <c r="D59" s="117">
        <v>57635</v>
      </c>
      <c r="E59" s="117">
        <v>57716</v>
      </c>
      <c r="F59" s="117">
        <v>58085</v>
      </c>
      <c r="G59" s="151">
        <v>58345</v>
      </c>
      <c r="H59" s="155">
        <v>54404</v>
      </c>
      <c r="I59" s="155">
        <v>1071</v>
      </c>
      <c r="J59" s="155">
        <v>432</v>
      </c>
      <c r="K59" s="155">
        <v>417</v>
      </c>
      <c r="L59" s="155">
        <v>2021</v>
      </c>
      <c r="M59" s="40">
        <v>24228</v>
      </c>
      <c r="N59" s="40">
        <v>24295</v>
      </c>
      <c r="O59" s="40">
        <v>24334</v>
      </c>
      <c r="P59" s="106">
        <v>24452</v>
      </c>
      <c r="Q59" s="106">
        <v>24668</v>
      </c>
      <c r="R59" s="51">
        <v>36.299999999999997</v>
      </c>
      <c r="S59" s="51">
        <v>37.4</v>
      </c>
      <c r="T59" s="51">
        <v>38.773364485981311</v>
      </c>
      <c r="U59" s="51">
        <v>39.502738161478312</v>
      </c>
      <c r="V59" s="51">
        <v>39.890902692240019</v>
      </c>
      <c r="W59" s="38">
        <v>28.7</v>
      </c>
      <c r="X59" s="38">
        <v>29.3</v>
      </c>
      <c r="Y59" s="38">
        <v>29.789719626168225</v>
      </c>
      <c r="Z59" s="38">
        <v>30.6000527132691</v>
      </c>
      <c r="AA59" s="38">
        <v>31.218839814651883</v>
      </c>
      <c r="AB59" s="51">
        <v>65</v>
      </c>
      <c r="AC59" s="51">
        <v>66.7</v>
      </c>
      <c r="AD59" s="51">
        <v>68.563084112149525</v>
      </c>
      <c r="AE59" s="51">
        <v>70.102790874747413</v>
      </c>
      <c r="AF59" s="51">
        <v>71.109742506891905</v>
      </c>
      <c r="AG59" s="39">
        <v>5.3</v>
      </c>
      <c r="AH59" s="39">
        <v>4.4464521957987806</v>
      </c>
      <c r="AI59" s="39">
        <v>4.19869331283628</v>
      </c>
      <c r="AJ59" s="39">
        <v>4.3922172991716435</v>
      </c>
      <c r="AK59" s="39">
        <v>4.1517219488970003</v>
      </c>
      <c r="AL59" s="43">
        <v>2195.5833333333335</v>
      </c>
      <c r="AM59" s="43">
        <v>2045.4166666666667</v>
      </c>
      <c r="AN59" s="43">
        <v>1928.1666666666667</v>
      </c>
      <c r="AO59" s="43">
        <v>1893.4166666666667</v>
      </c>
      <c r="AP59" s="43">
        <v>1827.0833333333333</v>
      </c>
      <c r="AQ59" s="190">
        <v>42119.50582354064</v>
      </c>
      <c r="AR59" s="190">
        <v>44229.156939939989</v>
      </c>
      <c r="AS59" s="190">
        <v>44511.978398587598</v>
      </c>
      <c r="AT59" s="190">
        <v>44851.450632693472</v>
      </c>
      <c r="AU59" s="190">
        <v>46777.450000000004</v>
      </c>
      <c r="AV59" s="162">
        <v>53177.25</v>
      </c>
      <c r="AW59" s="162">
        <v>50083.28</v>
      </c>
      <c r="AX59" s="162">
        <v>53570.400000000001</v>
      </c>
      <c r="AY59" s="161">
        <v>57017.71</v>
      </c>
      <c r="AZ59" s="161">
        <v>53033</v>
      </c>
      <c r="BA59" s="49">
        <v>11.8</v>
      </c>
      <c r="BB59" s="49">
        <v>11.2</v>
      </c>
      <c r="BC59" s="49">
        <v>9.6999999999999993</v>
      </c>
      <c r="BD59" s="49">
        <v>10.5</v>
      </c>
      <c r="BE59" s="49">
        <v>10.3</v>
      </c>
      <c r="BF59" s="42">
        <v>16.5</v>
      </c>
      <c r="BG59" s="42">
        <v>16.100000000000001</v>
      </c>
      <c r="BH59" s="42">
        <v>14.1</v>
      </c>
      <c r="BI59" s="42">
        <v>14</v>
      </c>
      <c r="BJ59" s="42">
        <v>14.2</v>
      </c>
      <c r="BK59" s="36">
        <v>7691</v>
      </c>
      <c r="BL59" s="36">
        <v>7884</v>
      </c>
      <c r="BM59" s="36">
        <v>7836</v>
      </c>
      <c r="BN59" s="36">
        <v>7953</v>
      </c>
      <c r="BO59" s="40">
        <v>38.655571447146016</v>
      </c>
      <c r="BP59" s="40">
        <v>38.660578386605785</v>
      </c>
      <c r="BQ59" s="40">
        <v>38.01684532924962</v>
      </c>
      <c r="BR59" s="40">
        <v>37.130642524833398</v>
      </c>
      <c r="BS59" s="51">
        <v>2.8604862826680537</v>
      </c>
      <c r="BT59" s="51">
        <v>3.1075596144089297</v>
      </c>
      <c r="BU59" s="51">
        <v>3.1904032669729454</v>
      </c>
      <c r="BV59" s="51">
        <v>3.6589966050546963</v>
      </c>
      <c r="BW59" s="39">
        <v>15.368612664152906</v>
      </c>
      <c r="BX59" s="39">
        <v>14.992389649923897</v>
      </c>
      <c r="BY59" s="39">
        <v>13.603879530372639</v>
      </c>
      <c r="BZ59" s="39">
        <v>14.962907079089652</v>
      </c>
      <c r="CA59" s="40">
        <v>81.747269890795621</v>
      </c>
      <c r="CB59" s="40">
        <v>81.029411764705884</v>
      </c>
      <c r="CC59" s="40">
        <v>82.41</v>
      </c>
      <c r="CD59" s="40">
        <v>80.459999999999994</v>
      </c>
      <c r="CE59" s="40">
        <v>4.8361934477379096</v>
      </c>
      <c r="CF59" s="40">
        <v>7.7712609970674489</v>
      </c>
      <c r="CG59" s="40">
        <v>7.85</v>
      </c>
      <c r="CH59" s="40">
        <v>6.03</v>
      </c>
      <c r="CI59" s="105">
        <v>2902</v>
      </c>
      <c r="CJ59" s="105">
        <v>3090</v>
      </c>
      <c r="CK59" s="104">
        <v>3066</v>
      </c>
      <c r="CL59" s="104">
        <v>3378</v>
      </c>
      <c r="CM59" s="39">
        <v>10.247681735679025</v>
      </c>
      <c r="CN59" s="39">
        <v>13.409304929329926</v>
      </c>
      <c r="CO59" s="39">
        <v>10.749709870028784</v>
      </c>
      <c r="CP59" s="39">
        <v>11.673958570925</v>
      </c>
      <c r="CQ59" s="104">
        <v>110</v>
      </c>
      <c r="CR59" s="104">
        <v>140</v>
      </c>
      <c r="CS59" s="104">
        <v>122</v>
      </c>
      <c r="CT59" s="104">
        <v>120</v>
      </c>
      <c r="CU59" s="39">
        <v>3.9</v>
      </c>
      <c r="CV59" s="39">
        <v>4.5999999999999996</v>
      </c>
      <c r="CW59" s="39">
        <v>4.0999999999999996</v>
      </c>
      <c r="CX59" s="39">
        <v>3.7</v>
      </c>
      <c r="CY59" s="36">
        <v>198</v>
      </c>
      <c r="CZ59" s="104">
        <v>187</v>
      </c>
      <c r="DA59" s="104">
        <v>161</v>
      </c>
      <c r="DB59" s="104">
        <v>162</v>
      </c>
      <c r="DC59" s="39">
        <v>7.3</v>
      </c>
      <c r="DD59" s="39">
        <v>6.5</v>
      </c>
      <c r="DE59" s="39">
        <v>5.6</v>
      </c>
      <c r="DF59" s="39">
        <v>5</v>
      </c>
      <c r="DG59" s="39">
        <v>82.7</v>
      </c>
      <c r="DH59" s="39">
        <v>88.6</v>
      </c>
      <c r="DI59" s="39">
        <v>88.6</v>
      </c>
      <c r="DJ59" s="39">
        <v>84.4</v>
      </c>
      <c r="DK59" s="39">
        <v>18.2</v>
      </c>
      <c r="DL59" s="39">
        <v>12.8</v>
      </c>
      <c r="DM59" s="39">
        <v>10.7</v>
      </c>
      <c r="DN59" s="39">
        <v>9.5</v>
      </c>
      <c r="DO59" s="39">
        <v>26.6</v>
      </c>
      <c r="DP59" s="39">
        <v>29.1</v>
      </c>
      <c r="DQ59" s="39">
        <v>29.1</v>
      </c>
      <c r="DR59" s="39">
        <v>29.8</v>
      </c>
      <c r="DS59" s="39">
        <v>26.1</v>
      </c>
      <c r="DT59" s="39">
        <v>24.1</v>
      </c>
      <c r="DU59" s="39">
        <v>20.8</v>
      </c>
      <c r="DV59" s="39">
        <v>19.3</v>
      </c>
      <c r="DW59" s="45">
        <v>592</v>
      </c>
      <c r="DX59" s="45">
        <v>20</v>
      </c>
      <c r="DY59" s="15">
        <v>8</v>
      </c>
      <c r="DZ59" s="45">
        <v>6</v>
      </c>
      <c r="EA59" s="45">
        <v>30</v>
      </c>
      <c r="EB59" s="45">
        <v>17</v>
      </c>
      <c r="EC59" s="45">
        <v>11</v>
      </c>
      <c r="ED59" s="45">
        <v>7</v>
      </c>
      <c r="EE59" s="45">
        <v>19</v>
      </c>
      <c r="EF59" s="104">
        <v>3267</v>
      </c>
      <c r="EG59" s="104">
        <v>3108</v>
      </c>
      <c r="EH59" s="104">
        <v>3286</v>
      </c>
      <c r="EI59" s="104">
        <v>3351</v>
      </c>
      <c r="EJ59" s="174">
        <v>650</v>
      </c>
      <c r="EK59" s="174"/>
      <c r="EL59" s="174"/>
      <c r="EM59" s="174">
        <v>2</v>
      </c>
      <c r="EN59" s="174">
        <v>2</v>
      </c>
      <c r="EO59" s="39">
        <v>1143.127</v>
      </c>
      <c r="EP59" s="39">
        <v>1078.0809999999999</v>
      </c>
      <c r="EQ59" s="39">
        <v>1146.886</v>
      </c>
      <c r="ER59" s="39">
        <v>1161.203</v>
      </c>
      <c r="ES59" s="39">
        <v>765.12800000000004</v>
      </c>
      <c r="ET59" s="39">
        <v>681.755</v>
      </c>
      <c r="EU59" s="39">
        <v>679.12199999999996</v>
      </c>
      <c r="EV59" s="39">
        <v>664.08199999999999</v>
      </c>
      <c r="EW59" s="39">
        <v>952.01800000000003</v>
      </c>
      <c r="EX59" s="39">
        <v>843.601</v>
      </c>
      <c r="EY59" s="39">
        <v>825.65599999999995</v>
      </c>
      <c r="EZ59" s="39">
        <v>778.82</v>
      </c>
      <c r="FA59" s="39">
        <v>613.55399999999997</v>
      </c>
      <c r="FB59" s="39">
        <v>551.38900000000001</v>
      </c>
      <c r="FC59" s="39">
        <v>561.87199999999996</v>
      </c>
      <c r="FD59" s="39">
        <v>564.95100000000002</v>
      </c>
      <c r="FE59" s="44">
        <v>779</v>
      </c>
      <c r="FF59" s="44">
        <v>680</v>
      </c>
      <c r="FG59" s="44">
        <v>732</v>
      </c>
      <c r="FH59" s="44">
        <v>727</v>
      </c>
      <c r="FI59" s="39">
        <v>191.50299999999999</v>
      </c>
      <c r="FJ59" s="39">
        <v>158.785</v>
      </c>
      <c r="FK59" s="39">
        <v>158.857</v>
      </c>
      <c r="FL59" s="39">
        <v>147.20500000000001</v>
      </c>
      <c r="FM59" s="45">
        <v>841</v>
      </c>
      <c r="FN59" s="45">
        <v>784</v>
      </c>
      <c r="FO59" s="36">
        <v>757</v>
      </c>
      <c r="FP59" s="45">
        <v>778</v>
      </c>
      <c r="FQ59" s="39">
        <v>189.19300000000001</v>
      </c>
      <c r="FR59" s="39">
        <v>166.71899999999999</v>
      </c>
      <c r="FS59" s="39">
        <v>149.78</v>
      </c>
      <c r="FT59" s="39">
        <v>148.029</v>
      </c>
      <c r="FU59" s="43">
        <v>253</v>
      </c>
      <c r="FV59" s="43">
        <v>218</v>
      </c>
      <c r="FW59" s="43">
        <v>217</v>
      </c>
      <c r="FX59" s="45">
        <v>190</v>
      </c>
      <c r="FY59" s="39">
        <v>53.749000000000002</v>
      </c>
      <c r="FZ59" s="39">
        <v>42.744</v>
      </c>
      <c r="GA59" s="39">
        <v>41.896999999999998</v>
      </c>
      <c r="GB59" s="39">
        <v>35.020000000000003</v>
      </c>
      <c r="GC59" s="150">
        <v>140</v>
      </c>
      <c r="GD59" s="150">
        <v>109</v>
      </c>
      <c r="GE59" s="150">
        <v>142</v>
      </c>
      <c r="GF59" s="150">
        <v>147</v>
      </c>
      <c r="GG59" s="182">
        <v>43.74</v>
      </c>
      <c r="GH59" s="182">
        <v>30.823</v>
      </c>
      <c r="GI59" s="182">
        <v>41.061999999999998</v>
      </c>
      <c r="GJ59" s="182">
        <v>38.302</v>
      </c>
      <c r="GK59" s="182"/>
      <c r="GL59" s="114"/>
      <c r="GM59" s="114"/>
      <c r="GN59" s="114"/>
      <c r="GP59" s="114"/>
      <c r="GQ59" s="114"/>
      <c r="GR59" s="114"/>
      <c r="GS59" s="114"/>
      <c r="GU59" s="114"/>
      <c r="GV59" s="114"/>
      <c r="GW59" s="114"/>
      <c r="GX59" s="114"/>
      <c r="HE59" s="113"/>
      <c r="HF59" s="113"/>
      <c r="HG59" s="113"/>
      <c r="HH59" s="113"/>
      <c r="HI59" s="113"/>
      <c r="HJ59" s="115"/>
      <c r="HK59" s="115"/>
      <c r="HL59" s="114"/>
      <c r="HV59" s="116"/>
    </row>
    <row r="60" spans="1:230" ht="21" customHeight="1" x14ac:dyDescent="0.2">
      <c r="A60" s="128">
        <v>57</v>
      </c>
      <c r="B60" s="129" t="s">
        <v>103</v>
      </c>
      <c r="C60" s="117">
        <v>14118</v>
      </c>
      <c r="D60" s="117">
        <v>14058</v>
      </c>
      <c r="E60" s="117">
        <v>14219</v>
      </c>
      <c r="F60" s="117">
        <v>14235</v>
      </c>
      <c r="G60" s="151">
        <v>14238</v>
      </c>
      <c r="H60" s="155">
        <v>13060</v>
      </c>
      <c r="I60" s="155">
        <v>277</v>
      </c>
      <c r="J60" s="155">
        <v>230</v>
      </c>
      <c r="K60" s="155">
        <v>141</v>
      </c>
      <c r="L60" s="155">
        <v>530</v>
      </c>
      <c r="M60" s="40">
        <v>5917</v>
      </c>
      <c r="N60" s="40">
        <v>5964</v>
      </c>
      <c r="O60" s="40">
        <v>5993</v>
      </c>
      <c r="P60" s="106">
        <v>6043</v>
      </c>
      <c r="Q60" s="106">
        <v>6096</v>
      </c>
      <c r="R60" s="51">
        <v>25.1</v>
      </c>
      <c r="S60" s="51">
        <v>25.3</v>
      </c>
      <c r="T60" s="51">
        <v>26.06692265496434</v>
      </c>
      <c r="U60" s="51">
        <v>26.70191672174488</v>
      </c>
      <c r="V60" s="51">
        <v>28.003563077608284</v>
      </c>
      <c r="W60" s="38">
        <v>30.4</v>
      </c>
      <c r="X60" s="38">
        <v>29.5</v>
      </c>
      <c r="Y60" s="38">
        <v>29.928688974218321</v>
      </c>
      <c r="Z60" s="38">
        <v>30.105750165234635</v>
      </c>
      <c r="AA60" s="38">
        <v>30.531121255984857</v>
      </c>
      <c r="AB60" s="51">
        <v>55.5</v>
      </c>
      <c r="AC60" s="51">
        <v>54.8</v>
      </c>
      <c r="AD60" s="51">
        <v>55.995611629182662</v>
      </c>
      <c r="AE60" s="51">
        <v>56.807666886979511</v>
      </c>
      <c r="AF60" s="51">
        <v>58.534684333593148</v>
      </c>
      <c r="AG60" s="39">
        <v>5.7</v>
      </c>
      <c r="AH60" s="39">
        <v>4.958123953098827</v>
      </c>
      <c r="AI60" s="39">
        <v>5.1979383704353541</v>
      </c>
      <c r="AJ60" s="39">
        <v>5.7911637692392866</v>
      </c>
      <c r="AK60" s="39">
        <v>5.6425988824367268</v>
      </c>
      <c r="AL60" s="43">
        <v>623.5</v>
      </c>
      <c r="AM60" s="43">
        <v>536.08333333333337</v>
      </c>
      <c r="AN60" s="43">
        <v>500.58333333333331</v>
      </c>
      <c r="AO60" s="43">
        <v>514.75</v>
      </c>
      <c r="AP60" s="43">
        <v>552.5</v>
      </c>
      <c r="AQ60" s="190">
        <v>49189.302407932009</v>
      </c>
      <c r="AR60" s="190">
        <v>49545.490697344125</v>
      </c>
      <c r="AS60" s="190">
        <v>50240.909282256369</v>
      </c>
      <c r="AT60" s="190">
        <v>50466.671584123636</v>
      </c>
      <c r="AU60" s="190">
        <v>52546.48</v>
      </c>
      <c r="AV60" s="162">
        <v>48807.15</v>
      </c>
      <c r="AW60" s="162">
        <v>49192</v>
      </c>
      <c r="AX60" s="162">
        <v>52941.200000000004</v>
      </c>
      <c r="AY60" s="161">
        <v>52881.23</v>
      </c>
      <c r="AZ60" s="161">
        <v>56015</v>
      </c>
      <c r="BA60" s="49">
        <v>10.7</v>
      </c>
      <c r="BB60" s="49">
        <v>9.3000000000000007</v>
      </c>
      <c r="BC60" s="49">
        <v>10.4</v>
      </c>
      <c r="BD60" s="49">
        <v>9.8000000000000007</v>
      </c>
      <c r="BE60" s="49">
        <v>10.3</v>
      </c>
      <c r="BF60" s="42">
        <v>14.6</v>
      </c>
      <c r="BG60" s="42">
        <v>12.7</v>
      </c>
      <c r="BH60" s="42">
        <v>12</v>
      </c>
      <c r="BI60" s="42">
        <v>11.8</v>
      </c>
      <c r="BJ60" s="42">
        <v>12.7</v>
      </c>
      <c r="BK60" s="36">
        <v>2183</v>
      </c>
      <c r="BL60" s="36">
        <v>2225</v>
      </c>
      <c r="BM60" s="36">
        <v>2214</v>
      </c>
      <c r="BN60" s="36">
        <v>2269</v>
      </c>
      <c r="BO60" s="40">
        <v>35.180943655519926</v>
      </c>
      <c r="BP60" s="40">
        <v>35.011235955056179</v>
      </c>
      <c r="BQ60" s="40">
        <v>36.178861788617887</v>
      </c>
      <c r="BR60" s="40">
        <v>39.53283384750992</v>
      </c>
      <c r="BS60" s="51">
        <v>0.96197892808062302</v>
      </c>
      <c r="BT60" s="51">
        <v>1.3932584269662922</v>
      </c>
      <c r="BU60" s="51">
        <v>1.2646793134598013</v>
      </c>
      <c r="BV60" s="51">
        <v>1.1458792419568091</v>
      </c>
      <c r="BW60" s="39">
        <v>16.445258818140175</v>
      </c>
      <c r="BX60" s="39">
        <v>16.898876404494381</v>
      </c>
      <c r="BY60" s="39">
        <v>15.537488708220415</v>
      </c>
      <c r="BZ60" s="39">
        <v>18.642573821066549</v>
      </c>
      <c r="CA60" s="40">
        <v>87.730061349693258</v>
      </c>
      <c r="CB60" s="40">
        <v>91.443850267379673</v>
      </c>
      <c r="CC60" s="40">
        <v>91.28</v>
      </c>
      <c r="CD60" s="40">
        <v>92.45</v>
      </c>
      <c r="CE60" s="40">
        <v>3.6809815950920246</v>
      </c>
      <c r="CF60" s="40">
        <v>4.2780748663101607</v>
      </c>
      <c r="CG60" s="40">
        <v>3.67</v>
      </c>
      <c r="CH60" s="40">
        <v>1.26</v>
      </c>
      <c r="CI60" s="105">
        <v>826</v>
      </c>
      <c r="CJ60" s="105">
        <v>954</v>
      </c>
      <c r="CK60" s="104">
        <v>923</v>
      </c>
      <c r="CL60" s="104">
        <v>893</v>
      </c>
      <c r="CM60" s="39">
        <v>12.225083621940028</v>
      </c>
      <c r="CN60" s="39">
        <v>17.466769196968031</v>
      </c>
      <c r="CO60" s="39">
        <v>13.249120792363454</v>
      </c>
      <c r="CP60" s="39">
        <v>12.600891798837276</v>
      </c>
      <c r="CQ60" s="104">
        <v>35</v>
      </c>
      <c r="CR60" s="104">
        <v>47</v>
      </c>
      <c r="CS60" s="104">
        <v>49</v>
      </c>
      <c r="CT60" s="104">
        <v>40</v>
      </c>
      <c r="CU60" s="39">
        <v>4.3</v>
      </c>
      <c r="CV60" s="39">
        <v>5</v>
      </c>
      <c r="CW60" s="39">
        <v>5.5</v>
      </c>
      <c r="CX60" s="39">
        <v>4.5999999999999996</v>
      </c>
      <c r="CY60" s="36">
        <v>57</v>
      </c>
      <c r="CZ60" s="104">
        <v>76</v>
      </c>
      <c r="DA60" s="104">
        <v>69</v>
      </c>
      <c r="DB60" s="104">
        <v>68</v>
      </c>
      <c r="DC60" s="39">
        <v>7.2</v>
      </c>
      <c r="DD60" s="39">
        <v>8.6999999999999993</v>
      </c>
      <c r="DE60" s="39">
        <v>8.1999999999999993</v>
      </c>
      <c r="DF60" s="39">
        <v>7.9</v>
      </c>
      <c r="DG60" s="39">
        <v>81.7</v>
      </c>
      <c r="DH60" s="39">
        <v>82.2</v>
      </c>
      <c r="DI60" s="39">
        <v>88.6</v>
      </c>
      <c r="DJ60" s="39">
        <v>90.8</v>
      </c>
      <c r="DK60" s="39">
        <v>19.7</v>
      </c>
      <c r="DL60" s="39">
        <v>22.5</v>
      </c>
      <c r="DM60" s="39">
        <v>25.5</v>
      </c>
      <c r="DN60" s="39">
        <v>17.899999999999999</v>
      </c>
      <c r="DO60" s="39">
        <v>31.8</v>
      </c>
      <c r="DP60" s="39">
        <v>35.700000000000003</v>
      </c>
      <c r="DQ60" s="39">
        <v>44</v>
      </c>
      <c r="DR60" s="39">
        <v>37.799999999999997</v>
      </c>
      <c r="DS60" s="39">
        <v>31.3</v>
      </c>
      <c r="DT60" s="39">
        <v>28.6</v>
      </c>
      <c r="DU60" s="39">
        <v>27.2</v>
      </c>
      <c r="DV60" s="39">
        <v>28.8</v>
      </c>
      <c r="DW60" s="45">
        <v>150</v>
      </c>
      <c r="DX60" s="45">
        <v>1</v>
      </c>
      <c r="DY60" s="15">
        <v>3</v>
      </c>
      <c r="DZ60" s="45">
        <v>7</v>
      </c>
      <c r="EA60" s="45">
        <v>9</v>
      </c>
      <c r="EB60" s="45">
        <v>6</v>
      </c>
      <c r="EC60" s="45">
        <v>2</v>
      </c>
      <c r="ED60" s="45">
        <v>5</v>
      </c>
      <c r="EE60" s="45">
        <v>5</v>
      </c>
      <c r="EF60" s="104">
        <v>751</v>
      </c>
      <c r="EG60" s="104">
        <v>694</v>
      </c>
      <c r="EH60" s="104">
        <v>705</v>
      </c>
      <c r="EI60" s="104">
        <v>648</v>
      </c>
      <c r="EJ60" s="174">
        <v>138</v>
      </c>
      <c r="EK60" s="174"/>
      <c r="EL60" s="174">
        <v>2</v>
      </c>
      <c r="EM60" s="174"/>
      <c r="EN60" s="174">
        <v>1</v>
      </c>
      <c r="EO60" s="39">
        <v>1105.713</v>
      </c>
      <c r="EP60" s="39">
        <v>1019.9880000000001</v>
      </c>
      <c r="EQ60" s="39">
        <v>1012.204</v>
      </c>
      <c r="ER60" s="39">
        <v>911.45699999999999</v>
      </c>
      <c r="ES60" s="39">
        <v>821.13699999999994</v>
      </c>
      <c r="ET60" s="39">
        <v>744.17</v>
      </c>
      <c r="EU60" s="39">
        <v>745.04</v>
      </c>
      <c r="EV60" s="39">
        <v>650.83000000000004</v>
      </c>
      <c r="EW60" s="39">
        <v>1050.9670000000001</v>
      </c>
      <c r="EX60" s="39">
        <v>970.03499999999997</v>
      </c>
      <c r="EY60" s="39">
        <v>901.68</v>
      </c>
      <c r="EZ60" s="39">
        <v>741.53499999999997</v>
      </c>
      <c r="FA60" s="39">
        <v>653.67999999999995</v>
      </c>
      <c r="FB60" s="39">
        <v>577.61599999999999</v>
      </c>
      <c r="FC60" s="39">
        <v>634.87699999999995</v>
      </c>
      <c r="FD60" s="39">
        <v>563.54300000000001</v>
      </c>
      <c r="FE60" s="44">
        <v>159</v>
      </c>
      <c r="FF60" s="44">
        <v>154</v>
      </c>
      <c r="FG60" s="44">
        <v>153</v>
      </c>
      <c r="FH60" s="44">
        <v>137</v>
      </c>
      <c r="FI60" s="39">
        <v>190.065</v>
      </c>
      <c r="FJ60" s="39">
        <v>173.50399999999999</v>
      </c>
      <c r="FK60" s="39">
        <v>171.37</v>
      </c>
      <c r="FL60" s="39">
        <v>145.934</v>
      </c>
      <c r="FM60" s="45">
        <v>196</v>
      </c>
      <c r="FN60" s="45">
        <v>169</v>
      </c>
      <c r="FO60" s="36">
        <v>149</v>
      </c>
      <c r="FP60" s="45">
        <v>140</v>
      </c>
      <c r="FQ60" s="39">
        <v>209.48599999999999</v>
      </c>
      <c r="FR60" s="39">
        <v>178.29599999999999</v>
      </c>
      <c r="FS60" s="39">
        <v>148.71600000000001</v>
      </c>
      <c r="FT60" s="39">
        <v>136.125</v>
      </c>
      <c r="FU60" s="43">
        <v>74</v>
      </c>
      <c r="FV60" s="43">
        <v>47</v>
      </c>
      <c r="FW60" s="43">
        <v>34</v>
      </c>
      <c r="FX60" s="45">
        <v>35</v>
      </c>
      <c r="FY60" s="39">
        <v>75.83</v>
      </c>
      <c r="FZ60" s="39">
        <v>45.984000000000002</v>
      </c>
      <c r="GA60" s="39">
        <v>33.938000000000002</v>
      </c>
      <c r="GB60" s="39">
        <v>31.042999999999999</v>
      </c>
      <c r="GC60" s="150">
        <v>40</v>
      </c>
      <c r="GD60" s="150">
        <v>27</v>
      </c>
      <c r="GE60" s="150">
        <v>37</v>
      </c>
      <c r="GF60" s="150">
        <v>28</v>
      </c>
      <c r="GG60" s="182">
        <v>49.323</v>
      </c>
      <c r="GH60" s="182">
        <v>35.728000000000002</v>
      </c>
      <c r="GI60" s="182">
        <v>48.05</v>
      </c>
      <c r="GJ60" s="182">
        <v>33.951000000000001</v>
      </c>
      <c r="GK60" s="182"/>
      <c r="GL60" s="114"/>
      <c r="GM60" s="114"/>
      <c r="GN60" s="114"/>
      <c r="GP60" s="114"/>
      <c r="GQ60" s="114"/>
      <c r="GR60" s="114"/>
      <c r="GS60" s="114"/>
      <c r="GU60" s="114"/>
      <c r="GV60" s="114"/>
      <c r="GW60" s="114"/>
      <c r="GX60" s="114"/>
      <c r="HE60" s="113"/>
      <c r="HF60" s="113"/>
      <c r="HG60" s="113"/>
      <c r="HH60" s="113"/>
      <c r="HI60" s="113"/>
      <c r="HJ60" s="115"/>
      <c r="HK60" s="115"/>
      <c r="HL60" s="114"/>
      <c r="HV60" s="116"/>
    </row>
    <row r="61" spans="1:230" x14ac:dyDescent="0.2">
      <c r="A61" s="128">
        <v>58</v>
      </c>
      <c r="B61" s="129" t="s">
        <v>104</v>
      </c>
      <c r="C61" s="117">
        <v>29104</v>
      </c>
      <c r="D61" s="117">
        <v>29095</v>
      </c>
      <c r="E61" s="117">
        <v>29069</v>
      </c>
      <c r="F61" s="117">
        <v>28874</v>
      </c>
      <c r="G61" s="151">
        <v>29203</v>
      </c>
      <c r="H61" s="155">
        <v>26378</v>
      </c>
      <c r="I61" s="155">
        <v>729</v>
      </c>
      <c r="J61" s="155">
        <v>1050</v>
      </c>
      <c r="K61" s="155">
        <v>211</v>
      </c>
      <c r="L61" s="155">
        <v>835</v>
      </c>
      <c r="M61" s="40">
        <v>11281</v>
      </c>
      <c r="N61" s="40">
        <v>11328</v>
      </c>
      <c r="O61" s="40">
        <v>11336</v>
      </c>
      <c r="P61" s="106">
        <v>11344</v>
      </c>
      <c r="Q61" s="106">
        <v>11412</v>
      </c>
      <c r="R61" s="51">
        <v>27.8</v>
      </c>
      <c r="S61" s="51">
        <v>28.5</v>
      </c>
      <c r="T61" s="51">
        <v>29.036041799957346</v>
      </c>
      <c r="U61" s="51">
        <v>30.013987518829353</v>
      </c>
      <c r="V61" s="51">
        <v>31.404648167033439</v>
      </c>
      <c r="W61" s="38">
        <v>26.5</v>
      </c>
      <c r="X61" s="38">
        <v>26.1</v>
      </c>
      <c r="Y61" s="38">
        <v>25.949029643847304</v>
      </c>
      <c r="Z61" s="38">
        <v>25.322788896061976</v>
      </c>
      <c r="AA61" s="38">
        <v>25.339487950190541</v>
      </c>
      <c r="AB61" s="51">
        <v>54.3</v>
      </c>
      <c r="AC61" s="51">
        <v>54.5</v>
      </c>
      <c r="AD61" s="51">
        <v>54.985071443804642</v>
      </c>
      <c r="AE61" s="51">
        <v>55.336776414891332</v>
      </c>
      <c r="AF61" s="51">
        <v>56.744136117223988</v>
      </c>
      <c r="AG61" s="39">
        <v>7.5</v>
      </c>
      <c r="AH61" s="39">
        <v>6.0457181849198225</v>
      </c>
      <c r="AI61" s="39">
        <v>5.5244141284527588</v>
      </c>
      <c r="AJ61" s="39">
        <v>5.8807588075880757</v>
      </c>
      <c r="AK61" s="39">
        <v>5.8236936577582767</v>
      </c>
      <c r="AL61" s="43">
        <v>1865.25</v>
      </c>
      <c r="AM61" s="43">
        <v>1724.4166666666667</v>
      </c>
      <c r="AN61" s="43">
        <v>1538.8333333333333</v>
      </c>
      <c r="AO61" s="43">
        <v>1474.8333333333333</v>
      </c>
      <c r="AP61" s="43">
        <v>1466.0833333333333</v>
      </c>
      <c r="AQ61" s="190">
        <v>32122.03500567381</v>
      </c>
      <c r="AR61" s="190">
        <v>33382.07843945326</v>
      </c>
      <c r="AS61" s="190">
        <v>34388.495489912551</v>
      </c>
      <c r="AT61" s="190">
        <v>35410.111519013641</v>
      </c>
      <c r="AU61" s="190">
        <v>36793.660000000003</v>
      </c>
      <c r="AV61" s="162">
        <v>48240.15</v>
      </c>
      <c r="AW61" s="162">
        <v>44747.040000000001</v>
      </c>
      <c r="AX61" s="162">
        <v>43843.28</v>
      </c>
      <c r="AY61" s="161">
        <v>47721.96</v>
      </c>
      <c r="AZ61" s="161">
        <v>52226</v>
      </c>
      <c r="BA61" s="49">
        <v>15.7</v>
      </c>
      <c r="BB61" s="49">
        <v>17.5</v>
      </c>
      <c r="BC61" s="49">
        <v>13.9</v>
      </c>
      <c r="BD61" s="49">
        <v>12.2</v>
      </c>
      <c r="BE61" s="49">
        <v>12.2</v>
      </c>
      <c r="BF61" s="42">
        <v>23.2</v>
      </c>
      <c r="BG61" s="42">
        <v>25.1</v>
      </c>
      <c r="BH61" s="42">
        <v>18.600000000000001</v>
      </c>
      <c r="BI61" s="42">
        <v>17.100000000000001</v>
      </c>
      <c r="BJ61" s="42">
        <v>16.7</v>
      </c>
      <c r="BK61" s="36">
        <v>3808</v>
      </c>
      <c r="BL61" s="36">
        <v>3778</v>
      </c>
      <c r="BM61" s="36">
        <v>3741</v>
      </c>
      <c r="BN61" s="36">
        <v>3821</v>
      </c>
      <c r="BO61" s="40">
        <v>50.315126050420169</v>
      </c>
      <c r="BP61" s="40">
        <v>47.988353626257279</v>
      </c>
      <c r="BQ61" s="40">
        <v>46.992782678428227</v>
      </c>
      <c r="BR61" s="40">
        <v>43.78434964668935</v>
      </c>
      <c r="BS61" s="51">
        <v>0.70903361344537819</v>
      </c>
      <c r="BT61" s="51">
        <v>0.55584965590259394</v>
      </c>
      <c r="BU61" s="51">
        <v>0.42769313017909649</v>
      </c>
      <c r="BV61" s="51">
        <v>0.26171159382360637</v>
      </c>
      <c r="BW61" s="39">
        <v>14.128151260504202</v>
      </c>
      <c r="BX61" s="39">
        <v>14.4785600847009</v>
      </c>
      <c r="BY61" s="39">
        <v>13.900026730820636</v>
      </c>
      <c r="BZ61" s="39">
        <v>14.943732007327926</v>
      </c>
      <c r="CA61" s="40">
        <v>79.63636363636364</v>
      </c>
      <c r="CB61" s="40">
        <v>81.818181818181827</v>
      </c>
      <c r="CC61" s="40">
        <v>82.9</v>
      </c>
      <c r="CD61" s="40">
        <v>86.35</v>
      </c>
      <c r="CE61" s="40">
        <v>6.1818181818181817</v>
      </c>
      <c r="CF61" s="40">
        <v>11.824324324324325</v>
      </c>
      <c r="CG61" s="40">
        <v>6.69</v>
      </c>
      <c r="CH61" s="107">
        <v>4.4400000000000004</v>
      </c>
      <c r="CI61" s="105">
        <v>1510</v>
      </c>
      <c r="CJ61" s="105">
        <v>1654</v>
      </c>
      <c r="CK61" s="104">
        <v>1544</v>
      </c>
      <c r="CL61" s="104">
        <v>1394</v>
      </c>
      <c r="CM61" s="39">
        <v>11.662483104846496</v>
      </c>
      <c r="CN61" s="39">
        <v>14.613372914899633</v>
      </c>
      <c r="CO61" s="39">
        <v>10.63089983957256</v>
      </c>
      <c r="CP61" s="39">
        <v>9.590973201692524</v>
      </c>
      <c r="CQ61" s="104">
        <v>74</v>
      </c>
      <c r="CR61" s="104">
        <v>70</v>
      </c>
      <c r="CS61" s="104">
        <v>82</v>
      </c>
      <c r="CT61" s="104">
        <v>70</v>
      </c>
      <c r="CU61" s="39">
        <v>5.0999999999999996</v>
      </c>
      <c r="CV61" s="39">
        <v>4.3</v>
      </c>
      <c r="CW61" s="39">
        <v>5.5</v>
      </c>
      <c r="CX61" s="39">
        <v>5.2</v>
      </c>
      <c r="CY61" s="36">
        <v>91</v>
      </c>
      <c r="CZ61" s="104">
        <v>113</v>
      </c>
      <c r="DA61" s="104">
        <v>100</v>
      </c>
      <c r="DB61" s="104">
        <v>98</v>
      </c>
      <c r="DC61" s="39">
        <v>7.2</v>
      </c>
      <c r="DD61" s="39">
        <v>9.5</v>
      </c>
      <c r="DE61" s="39">
        <v>7.9</v>
      </c>
      <c r="DF61" s="39">
        <v>7.2</v>
      </c>
      <c r="DG61" s="39">
        <v>79</v>
      </c>
      <c r="DH61" s="39">
        <v>80.3</v>
      </c>
      <c r="DI61" s="39">
        <v>82.4</v>
      </c>
      <c r="DJ61" s="39">
        <v>80.3</v>
      </c>
      <c r="DK61" s="39">
        <v>27</v>
      </c>
      <c r="DL61" s="39">
        <v>25.5</v>
      </c>
      <c r="DM61" s="39">
        <v>27.4</v>
      </c>
      <c r="DN61" s="39">
        <v>25.3</v>
      </c>
      <c r="DO61" s="39">
        <v>37.299999999999997</v>
      </c>
      <c r="DP61" s="39">
        <v>41</v>
      </c>
      <c r="DQ61" s="39">
        <v>45.4</v>
      </c>
      <c r="DR61" s="39">
        <v>48.1</v>
      </c>
      <c r="DS61" s="39">
        <v>41.1</v>
      </c>
      <c r="DT61" s="39">
        <v>38.700000000000003</v>
      </c>
      <c r="DU61" s="39">
        <v>34.299999999999997</v>
      </c>
      <c r="DV61" s="39">
        <v>24.9</v>
      </c>
      <c r="DW61" s="45">
        <v>245</v>
      </c>
      <c r="DX61" s="45">
        <v>4</v>
      </c>
      <c r="DY61" s="15">
        <v>13</v>
      </c>
      <c r="DZ61" s="45">
        <v>6</v>
      </c>
      <c r="EA61" s="45">
        <v>8</v>
      </c>
      <c r="EB61" s="45">
        <v>7</v>
      </c>
      <c r="EC61" s="45">
        <v>9</v>
      </c>
      <c r="ED61" s="45">
        <v>16</v>
      </c>
      <c r="EE61" s="45">
        <v>10</v>
      </c>
      <c r="EF61" s="104">
        <v>1207</v>
      </c>
      <c r="EG61" s="104">
        <v>1226</v>
      </c>
      <c r="EH61" s="104">
        <v>1245</v>
      </c>
      <c r="EI61" s="104">
        <v>1429</v>
      </c>
      <c r="EJ61" s="174">
        <v>265</v>
      </c>
      <c r="EK61" s="174"/>
      <c r="EL61" s="174">
        <v>12</v>
      </c>
      <c r="EM61" s="174"/>
      <c r="EN61" s="174"/>
      <c r="EO61" s="39">
        <v>909.91300000000001</v>
      </c>
      <c r="EP61" s="39">
        <v>860.80399999999997</v>
      </c>
      <c r="EQ61" s="39">
        <v>836.97500000000002</v>
      </c>
      <c r="ER61" s="39">
        <v>983.178</v>
      </c>
      <c r="ES61" s="39">
        <v>806.57399999999996</v>
      </c>
      <c r="ET61" s="39">
        <v>708.01900000000001</v>
      </c>
      <c r="EU61" s="39">
        <v>698.49099999999999</v>
      </c>
      <c r="EV61" s="39">
        <v>726.56</v>
      </c>
      <c r="EW61" s="39">
        <v>1031.93</v>
      </c>
      <c r="EX61" s="39">
        <v>831.98199999999997</v>
      </c>
      <c r="EY61" s="39">
        <v>819.25900000000001</v>
      </c>
      <c r="EZ61" s="39">
        <v>855.28800000000001</v>
      </c>
      <c r="FA61" s="39">
        <v>633.11900000000003</v>
      </c>
      <c r="FB61" s="39">
        <v>591.20899999999995</v>
      </c>
      <c r="FC61" s="39">
        <v>589.11599999999999</v>
      </c>
      <c r="FD61" s="39">
        <v>609.84799999999996</v>
      </c>
      <c r="FE61" s="44">
        <v>311</v>
      </c>
      <c r="FF61" s="44">
        <v>352</v>
      </c>
      <c r="FG61" s="44">
        <v>318</v>
      </c>
      <c r="FH61" s="44">
        <v>362</v>
      </c>
      <c r="FI61" s="39">
        <v>201.637</v>
      </c>
      <c r="FJ61" s="39">
        <v>206.24</v>
      </c>
      <c r="FK61" s="39">
        <v>167.446</v>
      </c>
      <c r="FL61" s="39">
        <v>172.97200000000001</v>
      </c>
      <c r="FM61" s="45">
        <v>347</v>
      </c>
      <c r="FN61" s="45">
        <v>298</v>
      </c>
      <c r="FO61" s="36">
        <v>245</v>
      </c>
      <c r="FP61" s="45">
        <v>260</v>
      </c>
      <c r="FQ61" s="39">
        <v>229.00200000000001</v>
      </c>
      <c r="FR61" s="39">
        <v>168.143</v>
      </c>
      <c r="FS61" s="39">
        <v>135.208</v>
      </c>
      <c r="FT61" s="39">
        <v>128.226</v>
      </c>
      <c r="FU61" s="43">
        <v>64</v>
      </c>
      <c r="FV61" s="43">
        <v>76</v>
      </c>
      <c r="FW61" s="43">
        <v>74</v>
      </c>
      <c r="FX61" s="45">
        <v>58</v>
      </c>
      <c r="FY61" s="39">
        <v>42.975999999999999</v>
      </c>
      <c r="FZ61" s="39">
        <v>42.762</v>
      </c>
      <c r="GA61" s="39">
        <v>41.284999999999997</v>
      </c>
      <c r="GB61" s="39">
        <v>28.550999999999998</v>
      </c>
      <c r="GC61" s="150">
        <v>75</v>
      </c>
      <c r="GD61" s="150">
        <v>72</v>
      </c>
      <c r="GE61" s="150">
        <v>84</v>
      </c>
      <c r="GF61" s="150">
        <v>92</v>
      </c>
      <c r="GG61" s="182">
        <v>55.338000000000001</v>
      </c>
      <c r="GH61" s="182">
        <v>46.252000000000002</v>
      </c>
      <c r="GI61" s="182">
        <v>53.88</v>
      </c>
      <c r="GJ61" s="182">
        <v>55.401000000000003</v>
      </c>
      <c r="GK61" s="182"/>
      <c r="GL61" s="114"/>
      <c r="GM61" s="114"/>
      <c r="GN61" s="114"/>
      <c r="GP61" s="114"/>
      <c r="GQ61" s="114"/>
      <c r="GR61" s="114"/>
      <c r="GS61" s="114"/>
      <c r="GU61" s="114"/>
      <c r="GV61" s="114"/>
      <c r="GW61" s="114"/>
      <c r="GX61" s="114"/>
      <c r="HE61" s="113"/>
      <c r="HF61" s="113"/>
      <c r="HG61" s="113"/>
      <c r="HH61" s="113"/>
      <c r="HI61" s="113"/>
      <c r="HJ61" s="115"/>
      <c r="HK61" s="115"/>
      <c r="HL61" s="114"/>
      <c r="HV61" s="116"/>
    </row>
    <row r="62" spans="1:230" x14ac:dyDescent="0.2">
      <c r="A62" s="128">
        <v>59</v>
      </c>
      <c r="B62" s="129" t="s">
        <v>105</v>
      </c>
      <c r="C62" s="117">
        <v>9270</v>
      </c>
      <c r="D62" s="117">
        <v>9281</v>
      </c>
      <c r="E62" s="117">
        <v>9271</v>
      </c>
      <c r="F62" s="117">
        <v>9202</v>
      </c>
      <c r="G62" s="151">
        <v>9087</v>
      </c>
      <c r="H62" s="155">
        <v>8089</v>
      </c>
      <c r="I62" s="155">
        <v>158</v>
      </c>
      <c r="J62" s="155">
        <v>126</v>
      </c>
      <c r="K62" s="155">
        <v>92</v>
      </c>
      <c r="L62" s="155">
        <v>622</v>
      </c>
      <c r="M62" s="40">
        <v>3988</v>
      </c>
      <c r="N62" s="40">
        <v>4014</v>
      </c>
      <c r="O62" s="40">
        <v>4016</v>
      </c>
      <c r="P62" s="106">
        <v>3985</v>
      </c>
      <c r="Q62" s="106">
        <v>3982</v>
      </c>
      <c r="R62" s="51">
        <v>34.5</v>
      </c>
      <c r="S62" s="51">
        <v>34.5</v>
      </c>
      <c r="T62" s="51">
        <v>35.492801771871541</v>
      </c>
      <c r="U62" s="51">
        <v>35.873431941583974</v>
      </c>
      <c r="V62" s="51">
        <v>36.224976167778841</v>
      </c>
      <c r="W62" s="38">
        <v>34.1</v>
      </c>
      <c r="X62" s="38">
        <v>35</v>
      </c>
      <c r="Y62" s="38">
        <v>35.622000738279809</v>
      </c>
      <c r="Z62" s="38">
        <v>36.4164014229545</v>
      </c>
      <c r="AA62" s="38">
        <v>37.025738798856054</v>
      </c>
      <c r="AB62" s="51">
        <v>68.599999999999994</v>
      </c>
      <c r="AC62" s="51">
        <v>69.5</v>
      </c>
      <c r="AD62" s="51">
        <v>71.11480251015135</v>
      </c>
      <c r="AE62" s="51">
        <v>72.289833364538481</v>
      </c>
      <c r="AF62" s="51">
        <v>73.250714966634888</v>
      </c>
      <c r="AG62" s="39">
        <v>3.9</v>
      </c>
      <c r="AH62" s="39">
        <v>3.7122002085505734</v>
      </c>
      <c r="AI62" s="39">
        <v>3.2754144198122628</v>
      </c>
      <c r="AJ62" s="39">
        <v>3.8572014772260981</v>
      </c>
      <c r="AK62" s="39">
        <v>3.5884671230035261</v>
      </c>
      <c r="AL62" s="43">
        <v>421.25</v>
      </c>
      <c r="AM62" s="43">
        <v>385.41666666666669</v>
      </c>
      <c r="AN62" s="43">
        <v>365.58333333333331</v>
      </c>
      <c r="AO62" s="43">
        <v>343.91666666666669</v>
      </c>
      <c r="AP62" s="43">
        <v>315.58333333333331</v>
      </c>
      <c r="AQ62" s="190">
        <v>53590.923772609822</v>
      </c>
      <c r="AR62" s="190">
        <v>54866.630797374368</v>
      </c>
      <c r="AS62" s="190">
        <v>54792.796372273806</v>
      </c>
      <c r="AT62" s="190">
        <v>52352.69941317106</v>
      </c>
      <c r="AU62" s="190">
        <v>54913.42</v>
      </c>
      <c r="AV62" s="162">
        <v>49500.15</v>
      </c>
      <c r="AW62" s="162">
        <v>49517.520000000004</v>
      </c>
      <c r="AX62" s="162">
        <v>49050.560000000005</v>
      </c>
      <c r="AY62" s="161">
        <v>53497.17</v>
      </c>
      <c r="AZ62" s="161">
        <v>50784</v>
      </c>
      <c r="BA62" s="49">
        <v>12.4</v>
      </c>
      <c r="BB62" s="49">
        <v>12.2</v>
      </c>
      <c r="BC62" s="49">
        <v>11</v>
      </c>
      <c r="BD62" s="49">
        <v>10.9</v>
      </c>
      <c r="BE62" s="49">
        <v>9.6999999999999993</v>
      </c>
      <c r="BF62" s="42">
        <v>17.2</v>
      </c>
      <c r="BG62" s="42">
        <v>18.100000000000001</v>
      </c>
      <c r="BH62" s="42">
        <v>15.7</v>
      </c>
      <c r="BI62" s="42">
        <v>15.1</v>
      </c>
      <c r="BJ62" s="42">
        <v>13.3</v>
      </c>
      <c r="BK62" s="36">
        <v>1524</v>
      </c>
      <c r="BL62" s="36">
        <v>1543</v>
      </c>
      <c r="BM62" s="36">
        <v>1503</v>
      </c>
      <c r="BN62" s="36">
        <v>1857</v>
      </c>
      <c r="BO62" s="40">
        <v>47.309711286089239</v>
      </c>
      <c r="BP62" s="40">
        <v>47.958522359040828</v>
      </c>
      <c r="BQ62" s="40">
        <v>47.771124417831004</v>
      </c>
      <c r="BR62" s="40">
        <v>44.749596122778676</v>
      </c>
      <c r="BS62" s="51">
        <v>4.6587926509186355</v>
      </c>
      <c r="BT62" s="51">
        <v>5.4439403758911213</v>
      </c>
      <c r="BU62" s="51">
        <v>9.1151031270791751</v>
      </c>
      <c r="BV62" s="51">
        <v>6.30048465266559</v>
      </c>
      <c r="BW62" s="39">
        <v>16.141732283464567</v>
      </c>
      <c r="BX62" s="39">
        <v>15.230071289695399</v>
      </c>
      <c r="BY62" s="39">
        <v>12.641383898868929</v>
      </c>
      <c r="BZ62" s="39">
        <v>14.16262789445342</v>
      </c>
      <c r="CA62" s="40">
        <v>87.704918032786878</v>
      </c>
      <c r="CB62" s="40">
        <v>92.307692307692307</v>
      </c>
      <c r="CC62" s="40">
        <v>86.36</v>
      </c>
      <c r="CD62" s="40">
        <v>78.260000000000005</v>
      </c>
      <c r="CE62" s="40">
        <v>8.1967213114754092</v>
      </c>
      <c r="CF62" s="40">
        <v>3.8461538461538463</v>
      </c>
      <c r="CG62" s="40">
        <v>9.09</v>
      </c>
      <c r="CH62" s="107">
        <v>18.48</v>
      </c>
      <c r="CI62" s="105">
        <v>560</v>
      </c>
      <c r="CJ62" s="105">
        <v>644</v>
      </c>
      <c r="CK62" s="104">
        <v>605</v>
      </c>
      <c r="CL62" s="104">
        <v>612</v>
      </c>
      <c r="CM62" s="39">
        <v>11.2878192336377</v>
      </c>
      <c r="CN62" s="39">
        <v>17.069550466497031</v>
      </c>
      <c r="CO62" s="39">
        <v>12.820512820512819</v>
      </c>
      <c r="CP62" s="39">
        <v>13.272321138123225</v>
      </c>
      <c r="CQ62" s="104">
        <v>24</v>
      </c>
      <c r="CR62" s="104">
        <v>31</v>
      </c>
      <c r="CS62" s="104">
        <v>27</v>
      </c>
      <c r="CT62" s="104">
        <v>20</v>
      </c>
      <c r="CU62" s="39">
        <v>4.4000000000000004</v>
      </c>
      <c r="CV62" s="39">
        <v>5</v>
      </c>
      <c r="CW62" s="39">
        <v>4.5999999999999996</v>
      </c>
      <c r="CX62" s="39">
        <v>3.4</v>
      </c>
      <c r="CY62" s="36">
        <v>48</v>
      </c>
      <c r="CZ62" s="104">
        <v>47</v>
      </c>
      <c r="DA62" s="104">
        <v>46</v>
      </c>
      <c r="DB62" s="104">
        <v>33</v>
      </c>
      <c r="DC62" s="39">
        <v>9</v>
      </c>
      <c r="DD62" s="39">
        <v>8.1</v>
      </c>
      <c r="DE62" s="39">
        <v>8.1</v>
      </c>
      <c r="DF62" s="39">
        <v>5.6</v>
      </c>
      <c r="DG62" s="39">
        <v>76.099999999999994</v>
      </c>
      <c r="DH62" s="39">
        <v>86.9</v>
      </c>
      <c r="DI62" s="39">
        <v>82.2</v>
      </c>
      <c r="DJ62" s="39">
        <v>81.400000000000006</v>
      </c>
      <c r="DK62" s="39">
        <v>14.2</v>
      </c>
      <c r="DL62" s="39">
        <v>17.600000000000001</v>
      </c>
      <c r="DM62" s="39">
        <v>18.600000000000001</v>
      </c>
      <c r="DN62" s="39">
        <v>11.8</v>
      </c>
      <c r="DO62" s="39">
        <v>20.7</v>
      </c>
      <c r="DP62" s="39">
        <v>30.9</v>
      </c>
      <c r="DQ62" s="39">
        <v>35.1</v>
      </c>
      <c r="DR62" s="39">
        <v>30.9</v>
      </c>
      <c r="DS62" s="39">
        <v>22.7</v>
      </c>
      <c r="DT62" s="39">
        <v>39.200000000000003</v>
      </c>
      <c r="DU62" s="39">
        <v>29.1</v>
      </c>
      <c r="DV62" s="39">
        <v>13.8</v>
      </c>
      <c r="DW62" s="45">
        <v>104</v>
      </c>
      <c r="DX62" s="45">
        <v>2</v>
      </c>
      <c r="DY62" s="15">
        <v>8</v>
      </c>
      <c r="DZ62" s="45">
        <v>2</v>
      </c>
      <c r="EA62" s="45">
        <v>14</v>
      </c>
      <c r="EB62" s="45">
        <v>5</v>
      </c>
      <c r="EC62" s="45">
        <v>1</v>
      </c>
      <c r="ED62" s="45">
        <v>3</v>
      </c>
      <c r="EE62" s="45">
        <v>2</v>
      </c>
      <c r="EF62" s="104">
        <v>649</v>
      </c>
      <c r="EG62" s="104">
        <v>626</v>
      </c>
      <c r="EH62" s="104">
        <v>576</v>
      </c>
      <c r="EI62" s="104">
        <v>580</v>
      </c>
      <c r="EJ62" s="174">
        <v>125</v>
      </c>
      <c r="EK62" s="174"/>
      <c r="EL62" s="174">
        <v>1</v>
      </c>
      <c r="EM62" s="174">
        <v>1</v>
      </c>
      <c r="EN62" s="174">
        <v>1</v>
      </c>
      <c r="EO62" s="39">
        <v>1311.7739999999999</v>
      </c>
      <c r="EP62" s="39">
        <v>1328.9459999999999</v>
      </c>
      <c r="EQ62" s="39">
        <v>1200.5</v>
      </c>
      <c r="ER62" s="39">
        <v>1251.213</v>
      </c>
      <c r="ES62" s="39">
        <v>757.04300000000001</v>
      </c>
      <c r="ET62" s="39">
        <v>706.85500000000002</v>
      </c>
      <c r="EU62" s="39">
        <v>677.49900000000002</v>
      </c>
      <c r="EV62" s="39">
        <v>688.01499999999999</v>
      </c>
      <c r="EW62" s="39">
        <v>945.46400000000006</v>
      </c>
      <c r="EX62" s="39">
        <v>939.399</v>
      </c>
      <c r="EY62" s="39">
        <v>886.43499999999995</v>
      </c>
      <c r="EZ62" s="39">
        <v>872.17700000000002</v>
      </c>
      <c r="FA62" s="39">
        <v>612.94000000000005</v>
      </c>
      <c r="FB62" s="39">
        <v>527.49800000000005</v>
      </c>
      <c r="FC62" s="39">
        <v>519.74699999999996</v>
      </c>
      <c r="FD62" s="39">
        <v>546.85900000000004</v>
      </c>
      <c r="FE62" s="44">
        <v>141</v>
      </c>
      <c r="FF62" s="44">
        <v>138</v>
      </c>
      <c r="FG62" s="44">
        <v>138</v>
      </c>
      <c r="FH62" s="44">
        <v>117</v>
      </c>
      <c r="FI62" s="39">
        <v>181.71799999999999</v>
      </c>
      <c r="FJ62" s="39">
        <v>176.37299999999999</v>
      </c>
      <c r="FK62" s="39">
        <v>181.61</v>
      </c>
      <c r="FL62" s="39">
        <v>151.81299999999999</v>
      </c>
      <c r="FM62" s="45">
        <v>131</v>
      </c>
      <c r="FN62" s="45">
        <v>117</v>
      </c>
      <c r="FO62" s="36">
        <v>110</v>
      </c>
      <c r="FP62" s="45">
        <v>115</v>
      </c>
      <c r="FQ62" s="39">
        <v>143.81399999999999</v>
      </c>
      <c r="FR62" s="39">
        <v>118.357</v>
      </c>
      <c r="FS62" s="39">
        <v>112.22499999999999</v>
      </c>
      <c r="FT62" s="39">
        <v>127.935</v>
      </c>
      <c r="FU62" s="43">
        <v>58</v>
      </c>
      <c r="FV62" s="43">
        <v>53</v>
      </c>
      <c r="FW62" s="43">
        <v>52</v>
      </c>
      <c r="FX62" s="45">
        <v>38</v>
      </c>
      <c r="FY62" s="39">
        <v>56.107999999999997</v>
      </c>
      <c r="FZ62" s="39">
        <v>47.725000000000001</v>
      </c>
      <c r="GA62" s="39">
        <v>51.393000000000001</v>
      </c>
      <c r="GB62" s="39">
        <v>39.284999999999997</v>
      </c>
      <c r="GC62" s="150">
        <v>30</v>
      </c>
      <c r="GD62" s="150">
        <v>31</v>
      </c>
      <c r="GE62" s="150">
        <v>29</v>
      </c>
      <c r="GF62" s="150">
        <v>20</v>
      </c>
      <c r="GG62" s="182">
        <v>49.344000000000001</v>
      </c>
      <c r="GH62" s="182">
        <v>48.896000000000001</v>
      </c>
      <c r="GI62" s="182">
        <v>43.076999999999998</v>
      </c>
      <c r="GJ62" s="182">
        <v>27.561</v>
      </c>
      <c r="GK62" s="182"/>
      <c r="GL62" s="114"/>
      <c r="GM62" s="114"/>
      <c r="GN62" s="114"/>
      <c r="GP62" s="114"/>
      <c r="GQ62" s="114"/>
      <c r="GR62" s="114"/>
      <c r="GS62" s="114"/>
      <c r="GU62" s="114"/>
      <c r="GV62" s="114"/>
      <c r="GW62" s="114"/>
      <c r="GX62" s="114"/>
      <c r="HE62" s="113"/>
      <c r="HF62" s="113"/>
      <c r="HG62" s="113"/>
      <c r="HH62" s="113"/>
      <c r="HI62" s="113"/>
      <c r="HJ62" s="115"/>
      <c r="HK62" s="115"/>
      <c r="HL62" s="114"/>
      <c r="HV62" s="116"/>
    </row>
    <row r="63" spans="1:230" x14ac:dyDescent="0.2">
      <c r="A63" s="128">
        <v>60</v>
      </c>
      <c r="B63" s="129" t="s">
        <v>106</v>
      </c>
      <c r="C63" s="117">
        <v>31569</v>
      </c>
      <c r="D63" s="117">
        <v>31704</v>
      </c>
      <c r="E63" s="117">
        <v>31533</v>
      </c>
      <c r="F63" s="117">
        <v>31660</v>
      </c>
      <c r="G63" s="151">
        <v>31619</v>
      </c>
      <c r="H63" s="155">
        <v>27715</v>
      </c>
      <c r="I63" s="155">
        <v>934</v>
      </c>
      <c r="J63" s="155">
        <v>504</v>
      </c>
      <c r="K63" s="155">
        <v>370</v>
      </c>
      <c r="L63" s="155">
        <v>2096</v>
      </c>
      <c r="M63" s="40">
        <v>12739</v>
      </c>
      <c r="N63" s="40">
        <v>12743</v>
      </c>
      <c r="O63" s="40">
        <v>12732</v>
      </c>
      <c r="P63" s="106">
        <v>12801</v>
      </c>
      <c r="Q63" s="106">
        <v>12886</v>
      </c>
      <c r="R63" s="51">
        <v>26.7</v>
      </c>
      <c r="S63" s="51">
        <v>26.9</v>
      </c>
      <c r="T63" s="51">
        <v>27.470871836078746</v>
      </c>
      <c r="U63" s="51">
        <v>28.081360048573163</v>
      </c>
      <c r="V63" s="51">
        <v>28.439011968423735</v>
      </c>
      <c r="W63" s="38">
        <v>30.4</v>
      </c>
      <c r="X63" s="38">
        <v>30.8</v>
      </c>
      <c r="Y63" s="38">
        <v>30.890920048212134</v>
      </c>
      <c r="Z63" s="38">
        <v>32.108884841125281</v>
      </c>
      <c r="AA63" s="38">
        <v>32.594856124267892</v>
      </c>
      <c r="AB63" s="51">
        <v>57.1</v>
      </c>
      <c r="AC63" s="51">
        <v>57.7</v>
      </c>
      <c r="AD63" s="51">
        <v>58.361791884290881</v>
      </c>
      <c r="AE63" s="51">
        <v>60.190244889698441</v>
      </c>
      <c r="AF63" s="51">
        <v>61.03386809269162</v>
      </c>
      <c r="AG63" s="39">
        <v>4.7</v>
      </c>
      <c r="AH63" s="39">
        <v>4.4783063859485868</v>
      </c>
      <c r="AI63" s="39">
        <v>4.1907928681992779</v>
      </c>
      <c r="AJ63" s="39">
        <v>4.3536542720596811</v>
      </c>
      <c r="AK63" s="39">
        <v>4.381322041872501</v>
      </c>
      <c r="AL63" s="43">
        <v>1818.0833333333333</v>
      </c>
      <c r="AM63" s="43">
        <v>1582.0833333333333</v>
      </c>
      <c r="AN63" s="43">
        <v>1520.75</v>
      </c>
      <c r="AO63" s="43">
        <v>1573.1666666666667</v>
      </c>
      <c r="AP63" s="43">
        <v>1579.9166666666667</v>
      </c>
      <c r="AQ63" s="190">
        <v>48902.184903156507</v>
      </c>
      <c r="AR63" s="190">
        <v>45815.154269009559</v>
      </c>
      <c r="AS63" s="190">
        <v>45937.176620076243</v>
      </c>
      <c r="AT63" s="190">
        <v>46705.132027795335</v>
      </c>
      <c r="AU63" s="190">
        <v>46391.200000000004</v>
      </c>
      <c r="AV63" s="162">
        <v>50062.950000000004</v>
      </c>
      <c r="AW63" s="162">
        <v>54814.240000000005</v>
      </c>
      <c r="AX63" s="162">
        <v>52182</v>
      </c>
      <c r="AY63" s="161">
        <v>55898.1</v>
      </c>
      <c r="AZ63" s="161">
        <v>54717</v>
      </c>
      <c r="BA63" s="49">
        <v>13.3</v>
      </c>
      <c r="BB63" s="49">
        <v>12.7</v>
      </c>
      <c r="BC63" s="49">
        <v>11.8</v>
      </c>
      <c r="BD63" s="49">
        <v>14.5</v>
      </c>
      <c r="BE63" s="49">
        <v>11.6</v>
      </c>
      <c r="BF63" s="42">
        <v>17.399999999999999</v>
      </c>
      <c r="BG63" s="42">
        <v>15.8</v>
      </c>
      <c r="BH63" s="42">
        <v>16.2</v>
      </c>
      <c r="BI63" s="42">
        <v>19.899999999999999</v>
      </c>
      <c r="BJ63" s="42">
        <v>13.4</v>
      </c>
      <c r="BK63" s="36">
        <v>4965</v>
      </c>
      <c r="BL63" s="36">
        <v>5180</v>
      </c>
      <c r="BM63" s="36">
        <v>5107</v>
      </c>
      <c r="BN63" s="36">
        <v>5239</v>
      </c>
      <c r="BO63" s="40">
        <v>38.872104733131927</v>
      </c>
      <c r="BP63" s="40">
        <v>40.270270270270274</v>
      </c>
      <c r="BQ63" s="40">
        <v>39.749363618562754</v>
      </c>
      <c r="BR63" s="40">
        <v>40.007635044855888</v>
      </c>
      <c r="BS63" s="51">
        <v>1.5307150050352467</v>
      </c>
      <c r="BT63" s="51">
        <v>3.2432432432432434</v>
      </c>
      <c r="BU63" s="51">
        <v>3.7987076561582143</v>
      </c>
      <c r="BV63" s="51">
        <v>4.6955525863714449</v>
      </c>
      <c r="BW63" s="39">
        <v>15.166163141993957</v>
      </c>
      <c r="BX63" s="39">
        <v>15.424710424710424</v>
      </c>
      <c r="BY63" s="39">
        <v>14.881535147836303</v>
      </c>
      <c r="BZ63" s="39">
        <v>16.319908379461729</v>
      </c>
      <c r="CA63" s="40">
        <v>83.914209115281508</v>
      </c>
      <c r="CB63" s="40">
        <v>88.59223300970875</v>
      </c>
      <c r="CC63" s="40">
        <v>89.03</v>
      </c>
      <c r="CD63" s="40">
        <v>88.22</v>
      </c>
      <c r="CE63" s="40">
        <v>6.4343163538873993</v>
      </c>
      <c r="CF63" s="40">
        <v>4.5893719806763285</v>
      </c>
      <c r="CG63" s="40">
        <v>4.4400000000000004</v>
      </c>
      <c r="CH63" s="36">
        <v>4.01</v>
      </c>
      <c r="CI63" s="105">
        <v>1705</v>
      </c>
      <c r="CJ63" s="105">
        <v>1916</v>
      </c>
      <c r="CK63" s="104">
        <v>2003</v>
      </c>
      <c r="CL63" s="104">
        <v>2096</v>
      </c>
      <c r="CM63" s="39">
        <v>10.974369536952407</v>
      </c>
      <c r="CN63" s="39">
        <v>15.445135910747107</v>
      </c>
      <c r="CO63" s="39">
        <v>12.844519116081621</v>
      </c>
      <c r="CP63" s="39">
        <v>13.258689945282601</v>
      </c>
      <c r="CQ63" s="104">
        <v>75</v>
      </c>
      <c r="CR63" s="104">
        <v>99</v>
      </c>
      <c r="CS63" s="104">
        <v>89</v>
      </c>
      <c r="CT63" s="104">
        <v>98</v>
      </c>
      <c r="CU63" s="39">
        <v>4.5</v>
      </c>
      <c r="CV63" s="39">
        <v>5.3</v>
      </c>
      <c r="CW63" s="39">
        <v>4.5999999999999996</v>
      </c>
      <c r="CX63" s="39">
        <v>4.8</v>
      </c>
      <c r="CY63" s="36">
        <v>138</v>
      </c>
      <c r="CZ63" s="104">
        <v>164</v>
      </c>
      <c r="DA63" s="104">
        <v>150</v>
      </c>
      <c r="DB63" s="104">
        <v>152</v>
      </c>
      <c r="DC63" s="39">
        <v>8.8000000000000007</v>
      </c>
      <c r="DD63" s="39">
        <v>9.4</v>
      </c>
      <c r="DE63" s="39">
        <v>8.1</v>
      </c>
      <c r="DF63" s="39">
        <v>7.5</v>
      </c>
      <c r="DG63" s="39">
        <v>80.599999999999994</v>
      </c>
      <c r="DH63" s="39">
        <v>83</v>
      </c>
      <c r="DI63" s="39">
        <v>78.400000000000006</v>
      </c>
      <c r="DJ63" s="39">
        <v>82.4</v>
      </c>
      <c r="DK63" s="39">
        <v>12.7</v>
      </c>
      <c r="DL63" s="39">
        <v>13.2</v>
      </c>
      <c r="DM63" s="39">
        <v>14.6</v>
      </c>
      <c r="DN63" s="39">
        <v>13.8</v>
      </c>
      <c r="DO63" s="39">
        <v>31.3</v>
      </c>
      <c r="DP63" s="39">
        <v>34.5</v>
      </c>
      <c r="DQ63" s="39">
        <v>34.1</v>
      </c>
      <c r="DR63" s="39">
        <v>33</v>
      </c>
      <c r="DS63" s="39">
        <v>31.7</v>
      </c>
      <c r="DT63" s="39">
        <v>32.6</v>
      </c>
      <c r="DU63" s="39">
        <v>27.6</v>
      </c>
      <c r="DV63" s="39">
        <v>18.600000000000001</v>
      </c>
      <c r="DW63" s="45">
        <v>344</v>
      </c>
      <c r="DX63" s="45">
        <v>45</v>
      </c>
      <c r="DY63" s="15">
        <v>14</v>
      </c>
      <c r="DZ63" s="45">
        <v>7</v>
      </c>
      <c r="EA63" s="45">
        <v>17</v>
      </c>
      <c r="EB63" s="45">
        <v>9</v>
      </c>
      <c r="EC63" s="45">
        <v>13</v>
      </c>
      <c r="ED63" s="45">
        <v>10</v>
      </c>
      <c r="EE63" s="45">
        <v>16</v>
      </c>
      <c r="EF63" s="104">
        <v>1789</v>
      </c>
      <c r="EG63" s="104">
        <v>1744</v>
      </c>
      <c r="EH63" s="104">
        <v>1794</v>
      </c>
      <c r="EI63" s="104">
        <v>1694</v>
      </c>
      <c r="EJ63" s="174">
        <v>323</v>
      </c>
      <c r="EK63" s="174">
        <v>4</v>
      </c>
      <c r="EL63" s="174">
        <v>3</v>
      </c>
      <c r="EM63" s="174">
        <v>1</v>
      </c>
      <c r="EN63" s="174">
        <v>3</v>
      </c>
      <c r="EO63" s="39">
        <v>1140.617</v>
      </c>
      <c r="EP63" s="39">
        <v>1120.355</v>
      </c>
      <c r="EQ63" s="39">
        <v>1135.443</v>
      </c>
      <c r="ER63" s="39">
        <v>1074.43</v>
      </c>
      <c r="ES63" s="39">
        <v>793.04300000000001</v>
      </c>
      <c r="ET63" s="39">
        <v>771.40499999999997</v>
      </c>
      <c r="EU63" s="39">
        <v>793.13599999999997</v>
      </c>
      <c r="EV63" s="39">
        <v>752.39499999999998</v>
      </c>
      <c r="EW63" s="39">
        <v>1000.171</v>
      </c>
      <c r="EX63" s="39">
        <v>1001.623</v>
      </c>
      <c r="EY63" s="39">
        <v>982.34799999999996</v>
      </c>
      <c r="EZ63" s="39">
        <v>918.97400000000005</v>
      </c>
      <c r="FA63" s="39">
        <v>635.48900000000003</v>
      </c>
      <c r="FB63" s="39">
        <v>618.21799999999996</v>
      </c>
      <c r="FC63" s="39">
        <v>673.39200000000005</v>
      </c>
      <c r="FD63" s="39">
        <v>621.65200000000004</v>
      </c>
      <c r="FE63" s="44">
        <v>395</v>
      </c>
      <c r="FF63" s="44">
        <v>317</v>
      </c>
      <c r="FG63" s="44">
        <v>401</v>
      </c>
      <c r="FH63" s="44">
        <v>329</v>
      </c>
      <c r="FI63" s="39">
        <v>193.75399999999999</v>
      </c>
      <c r="FJ63" s="39">
        <v>152.709</v>
      </c>
      <c r="FK63" s="39">
        <v>188.959</v>
      </c>
      <c r="FL63" s="39">
        <v>151.828</v>
      </c>
      <c r="FM63" s="45">
        <v>416</v>
      </c>
      <c r="FN63" s="45">
        <v>363</v>
      </c>
      <c r="FO63" s="36">
        <v>387</v>
      </c>
      <c r="FP63" s="45">
        <v>342</v>
      </c>
      <c r="FQ63" s="39">
        <v>178.977</v>
      </c>
      <c r="FR63" s="39">
        <v>151.85499999999999</v>
      </c>
      <c r="FS63" s="39">
        <v>162.22499999999999</v>
      </c>
      <c r="FT63" s="39">
        <v>139.36799999999999</v>
      </c>
      <c r="FU63" s="43">
        <v>159</v>
      </c>
      <c r="FV63" s="43">
        <v>136</v>
      </c>
      <c r="FW63" s="43">
        <v>101</v>
      </c>
      <c r="FX63" s="45">
        <v>100</v>
      </c>
      <c r="FY63" s="39">
        <v>62.497</v>
      </c>
      <c r="FZ63" s="39">
        <v>53.497</v>
      </c>
      <c r="GA63" s="39">
        <v>39.811999999999998</v>
      </c>
      <c r="GB63" s="39">
        <v>40.170999999999999</v>
      </c>
      <c r="GC63" s="150">
        <v>58</v>
      </c>
      <c r="GD63" s="150">
        <v>76</v>
      </c>
      <c r="GE63" s="150">
        <v>92</v>
      </c>
      <c r="GF63" s="150">
        <v>95</v>
      </c>
      <c r="GG63" s="182">
        <v>29.832999999999998</v>
      </c>
      <c r="GH63" s="182">
        <v>40.765000000000001</v>
      </c>
      <c r="GI63" s="182">
        <v>52.183999999999997</v>
      </c>
      <c r="GJ63" s="182">
        <v>54.256999999999998</v>
      </c>
      <c r="GK63" s="182"/>
      <c r="GL63" s="114"/>
      <c r="GM63" s="114"/>
      <c r="GN63" s="114"/>
      <c r="GP63" s="114"/>
      <c r="GQ63" s="114"/>
      <c r="GR63" s="114"/>
      <c r="GS63" s="114"/>
      <c r="GU63" s="114"/>
      <c r="GV63" s="114"/>
      <c r="GW63" s="114"/>
      <c r="GX63" s="114"/>
      <c r="HE63" s="113"/>
      <c r="HF63" s="113"/>
      <c r="HG63" s="113"/>
      <c r="HH63" s="113"/>
      <c r="HI63" s="113"/>
      <c r="HJ63" s="115"/>
      <c r="HK63" s="115"/>
      <c r="HL63" s="114"/>
      <c r="HV63" s="116"/>
    </row>
    <row r="64" spans="1:230" x14ac:dyDescent="0.2">
      <c r="A64" s="128">
        <v>61</v>
      </c>
      <c r="B64" s="129" t="s">
        <v>107</v>
      </c>
      <c r="C64" s="117">
        <v>10932</v>
      </c>
      <c r="D64" s="117">
        <v>10984</v>
      </c>
      <c r="E64" s="117">
        <v>11041</v>
      </c>
      <c r="F64" s="117">
        <v>11049</v>
      </c>
      <c r="G64" s="151">
        <v>10970</v>
      </c>
      <c r="H64" s="155">
        <v>10619</v>
      </c>
      <c r="I64" s="155">
        <v>90</v>
      </c>
      <c r="J64" s="155">
        <v>38</v>
      </c>
      <c r="K64" s="155">
        <v>65</v>
      </c>
      <c r="L64" s="155">
        <v>158</v>
      </c>
      <c r="M64" s="40">
        <v>4741</v>
      </c>
      <c r="N64" s="40">
        <v>4771</v>
      </c>
      <c r="O64" s="40">
        <v>4796</v>
      </c>
      <c r="P64" s="106">
        <v>4818</v>
      </c>
      <c r="Q64" s="106">
        <v>4813</v>
      </c>
      <c r="R64" s="51">
        <v>37.5</v>
      </c>
      <c r="S64" s="51">
        <v>38.1</v>
      </c>
      <c r="T64" s="51">
        <v>40.16292652935752</v>
      </c>
      <c r="U64" s="51">
        <v>40.422904769254515</v>
      </c>
      <c r="V64" s="51">
        <v>40.439457690509585</v>
      </c>
      <c r="W64" s="38">
        <v>28.7</v>
      </c>
      <c r="X64" s="38">
        <v>29.5</v>
      </c>
      <c r="Y64" s="38">
        <v>29.541961266523209</v>
      </c>
      <c r="Z64" s="38">
        <v>30.112671708597006</v>
      </c>
      <c r="AA64" s="38">
        <v>30.512700638927846</v>
      </c>
      <c r="AB64" s="51">
        <v>66.099999999999994</v>
      </c>
      <c r="AC64" s="51">
        <v>67.599999999999994</v>
      </c>
      <c r="AD64" s="51">
        <v>69.704887795880722</v>
      </c>
      <c r="AE64" s="51">
        <v>70.535576477851521</v>
      </c>
      <c r="AF64" s="51">
        <v>70.952158329437438</v>
      </c>
      <c r="AG64" s="39">
        <v>4</v>
      </c>
      <c r="AH64" s="39">
        <v>3.6268583564776997</v>
      </c>
      <c r="AI64" s="39">
        <v>3.3176076700654389</v>
      </c>
      <c r="AJ64" s="39">
        <v>3.5936751317680886</v>
      </c>
      <c r="AK64" s="39">
        <v>3.2400821874506081</v>
      </c>
      <c r="AL64" s="43">
        <v>464.41666666666669</v>
      </c>
      <c r="AM64" s="43">
        <v>431.75</v>
      </c>
      <c r="AN64" s="43">
        <v>410.33333333333331</v>
      </c>
      <c r="AO64" s="43">
        <v>380.83333333333331</v>
      </c>
      <c r="AP64" s="43">
        <v>346.58333333333331</v>
      </c>
      <c r="AQ64" s="190">
        <v>47639.387418734543</v>
      </c>
      <c r="AR64" s="190">
        <v>47325.176728468352</v>
      </c>
      <c r="AS64" s="190">
        <v>48745.626983407376</v>
      </c>
      <c r="AT64" s="190">
        <v>48390.237125531719</v>
      </c>
      <c r="AU64" s="190">
        <v>47882.64</v>
      </c>
      <c r="AV64" s="162">
        <v>53226.600000000006</v>
      </c>
      <c r="AW64" s="162">
        <v>57620.160000000003</v>
      </c>
      <c r="AX64" s="162">
        <v>53396.72</v>
      </c>
      <c r="AY64" s="161">
        <v>54865.01</v>
      </c>
      <c r="AZ64" s="161">
        <v>59903</v>
      </c>
      <c r="BA64" s="49">
        <v>11</v>
      </c>
      <c r="BB64" s="49">
        <v>10.4</v>
      </c>
      <c r="BC64" s="49">
        <v>8.4</v>
      </c>
      <c r="BD64" s="49">
        <v>9.1</v>
      </c>
      <c r="BE64" s="49">
        <v>8</v>
      </c>
      <c r="BF64" s="42">
        <v>13.5</v>
      </c>
      <c r="BG64" s="42">
        <v>13.3</v>
      </c>
      <c r="BH64" s="42">
        <v>13</v>
      </c>
      <c r="BI64" s="42">
        <v>12.1</v>
      </c>
      <c r="BJ64" s="42">
        <v>10.6</v>
      </c>
      <c r="BK64" s="36">
        <v>1275</v>
      </c>
      <c r="BL64" s="36">
        <v>1309</v>
      </c>
      <c r="BM64" s="36">
        <v>1316</v>
      </c>
      <c r="BN64" s="36">
        <v>1347</v>
      </c>
      <c r="BO64" s="40">
        <v>39.058823529411768</v>
      </c>
      <c r="BP64" s="40">
        <v>34.912146676852558</v>
      </c>
      <c r="BQ64" s="40">
        <v>31.003039513677813</v>
      </c>
      <c r="BR64" s="40">
        <v>32.368225686711213</v>
      </c>
      <c r="BS64" s="51">
        <v>0.39215686274509803</v>
      </c>
      <c r="BT64" s="51">
        <v>0.53475935828877008</v>
      </c>
      <c r="BU64" s="51">
        <v>0.45592705167173253</v>
      </c>
      <c r="BV64" s="51">
        <v>0.29695619896065328</v>
      </c>
      <c r="BW64" s="39">
        <v>23.294117647058822</v>
      </c>
      <c r="BX64" s="39">
        <v>23.300229182582125</v>
      </c>
      <c r="BY64" s="39">
        <v>21.276595744680851</v>
      </c>
      <c r="BZ64" s="39">
        <v>21.455085374907203</v>
      </c>
      <c r="CA64" s="40">
        <v>91.025641025641022</v>
      </c>
      <c r="CB64" s="40">
        <v>88.888888888888886</v>
      </c>
      <c r="CC64" s="40">
        <v>90.79</v>
      </c>
      <c r="CD64" s="40">
        <v>92.77</v>
      </c>
      <c r="CE64" s="40">
        <v>5.1282051282051277</v>
      </c>
      <c r="CF64" s="40">
        <v>3.6585365853658538</v>
      </c>
      <c r="CG64" s="40">
        <v>2.63</v>
      </c>
      <c r="CH64" s="38">
        <v>3.61</v>
      </c>
      <c r="CI64" s="105">
        <v>524</v>
      </c>
      <c r="CJ64" s="105">
        <v>620</v>
      </c>
      <c r="CK64" s="104">
        <v>624</v>
      </c>
      <c r="CL64" s="104">
        <v>618</v>
      </c>
      <c r="CM64" s="39">
        <v>9.4603621657729882</v>
      </c>
      <c r="CN64" s="39">
        <v>13.852891232460452</v>
      </c>
      <c r="CO64" s="39">
        <v>11.41185076810534</v>
      </c>
      <c r="CP64" s="39">
        <v>11.241268917345749</v>
      </c>
      <c r="CQ64" s="104">
        <v>18</v>
      </c>
      <c r="CR64" s="104">
        <v>26</v>
      </c>
      <c r="CS64" s="104">
        <v>28</v>
      </c>
      <c r="CT64" s="104">
        <v>24</v>
      </c>
      <c r="CU64" s="39">
        <v>3.6</v>
      </c>
      <c r="CV64" s="39">
        <v>4.5</v>
      </c>
      <c r="CW64" s="39">
        <v>4.7</v>
      </c>
      <c r="CX64" s="39">
        <v>4.0999999999999996</v>
      </c>
      <c r="CY64" s="36">
        <v>32</v>
      </c>
      <c r="CZ64" s="104">
        <v>47</v>
      </c>
      <c r="DA64" s="104">
        <v>53</v>
      </c>
      <c r="DB64" s="104">
        <v>36</v>
      </c>
      <c r="DC64" s="39">
        <v>6.5</v>
      </c>
      <c r="DD64" s="39">
        <v>8.3000000000000007</v>
      </c>
      <c r="DE64" s="39">
        <v>8.9</v>
      </c>
      <c r="DF64" s="39">
        <v>6.1</v>
      </c>
      <c r="DG64" s="39">
        <v>90</v>
      </c>
      <c r="DH64" s="39">
        <v>86.6</v>
      </c>
      <c r="DI64" s="39">
        <v>87.9</v>
      </c>
      <c r="DJ64" s="39">
        <v>88.7</v>
      </c>
      <c r="DK64" s="39">
        <v>11.9</v>
      </c>
      <c r="DL64" s="39">
        <v>14.2</v>
      </c>
      <c r="DM64" s="39">
        <v>13.3</v>
      </c>
      <c r="DN64" s="39">
        <v>12.8</v>
      </c>
      <c r="DO64" s="39">
        <v>17.899999999999999</v>
      </c>
      <c r="DP64" s="39">
        <v>24.5</v>
      </c>
      <c r="DQ64" s="39">
        <v>27.4</v>
      </c>
      <c r="DR64" s="39">
        <v>25.7</v>
      </c>
      <c r="DS64" s="39">
        <v>13.3</v>
      </c>
      <c r="DT64" s="39">
        <v>16.399999999999999</v>
      </c>
      <c r="DU64" s="39">
        <v>14.8</v>
      </c>
      <c r="DV64" s="39">
        <v>14.9</v>
      </c>
      <c r="DW64" s="45">
        <v>117</v>
      </c>
      <c r="DX64" s="45">
        <v>0</v>
      </c>
      <c r="DY64" s="15">
        <v>1</v>
      </c>
      <c r="DZ64" s="45">
        <v>1</v>
      </c>
      <c r="EA64" s="45">
        <v>9</v>
      </c>
      <c r="EB64" s="45">
        <v>4</v>
      </c>
      <c r="EC64" s="45"/>
      <c r="ED64" s="45">
        <v>6</v>
      </c>
      <c r="EE64" s="45">
        <v>5</v>
      </c>
      <c r="EF64" s="104">
        <v>758</v>
      </c>
      <c r="EG64" s="104">
        <v>707</v>
      </c>
      <c r="EH64" s="104">
        <v>687</v>
      </c>
      <c r="EI64" s="104">
        <v>610</v>
      </c>
      <c r="EJ64" s="174">
        <v>104</v>
      </c>
      <c r="EK64" s="174"/>
      <c r="EL64" s="174"/>
      <c r="EM64" s="174"/>
      <c r="EN64" s="174"/>
      <c r="EO64" s="39">
        <v>1349.2349999999999</v>
      </c>
      <c r="EP64" s="39">
        <v>1256.665</v>
      </c>
      <c r="EQ64" s="39">
        <v>1249.6590000000001</v>
      </c>
      <c r="ER64" s="39">
        <v>1104.972</v>
      </c>
      <c r="ES64" s="39">
        <v>763.82</v>
      </c>
      <c r="ET64" s="39">
        <v>714.83399999999995</v>
      </c>
      <c r="EU64" s="39">
        <v>719.96199999999999</v>
      </c>
      <c r="EV64" s="39">
        <v>592.13</v>
      </c>
      <c r="EW64" s="39">
        <v>995.59299999999996</v>
      </c>
      <c r="EX64" s="39">
        <v>818.53200000000004</v>
      </c>
      <c r="EY64" s="39">
        <v>885.05799999999999</v>
      </c>
      <c r="EZ64" s="39">
        <v>694.36400000000003</v>
      </c>
      <c r="FA64" s="39">
        <v>599.476</v>
      </c>
      <c r="FB64" s="39">
        <v>639.42600000000004</v>
      </c>
      <c r="FC64" s="39">
        <v>565.88499999999999</v>
      </c>
      <c r="FD64" s="39">
        <v>488.685</v>
      </c>
      <c r="FE64" s="44">
        <v>166</v>
      </c>
      <c r="FF64" s="44">
        <v>154</v>
      </c>
      <c r="FG64" s="44">
        <v>153</v>
      </c>
      <c r="FH64" s="44">
        <v>116</v>
      </c>
      <c r="FI64" s="39">
        <v>180.321</v>
      </c>
      <c r="FJ64" s="39">
        <v>169.69499999999999</v>
      </c>
      <c r="FK64" s="39">
        <v>168.42</v>
      </c>
      <c r="FL64" s="39">
        <v>120.946</v>
      </c>
      <c r="FM64" s="45">
        <v>211</v>
      </c>
      <c r="FN64" s="45">
        <v>172</v>
      </c>
      <c r="FO64" s="36">
        <v>155</v>
      </c>
      <c r="FP64" s="45">
        <v>151</v>
      </c>
      <c r="FQ64" s="39">
        <v>203.405</v>
      </c>
      <c r="FR64" s="39">
        <v>164.89699999999999</v>
      </c>
      <c r="FS64" s="39">
        <v>145.339</v>
      </c>
      <c r="FT64" s="39">
        <v>128.81</v>
      </c>
      <c r="FU64" s="43">
        <v>71</v>
      </c>
      <c r="FV64" s="43">
        <v>58</v>
      </c>
      <c r="FW64" s="43">
        <v>48</v>
      </c>
      <c r="FX64" s="45">
        <v>38</v>
      </c>
      <c r="FY64" s="39">
        <v>61.311</v>
      </c>
      <c r="FZ64" s="39">
        <v>54.765999999999998</v>
      </c>
      <c r="GA64" s="39">
        <v>44.69</v>
      </c>
      <c r="GB64" s="39">
        <v>34.932000000000002</v>
      </c>
      <c r="GC64" s="150">
        <v>29</v>
      </c>
      <c r="GD64" s="150">
        <v>23</v>
      </c>
      <c r="GE64" s="150">
        <v>34</v>
      </c>
      <c r="GF64" s="150">
        <v>28</v>
      </c>
      <c r="GG64" s="182">
        <v>41.795000000000002</v>
      </c>
      <c r="GH64" s="182">
        <v>35.691000000000003</v>
      </c>
      <c r="GI64" s="182">
        <v>54.518999999999998</v>
      </c>
      <c r="GJ64" s="182">
        <v>33.622</v>
      </c>
      <c r="GK64" s="182"/>
      <c r="GL64" s="114"/>
      <c r="GM64" s="114"/>
      <c r="GN64" s="114"/>
      <c r="GP64" s="114"/>
      <c r="GQ64" s="114"/>
      <c r="GR64" s="114"/>
      <c r="GS64" s="114"/>
      <c r="GU64" s="114"/>
      <c r="GV64" s="114"/>
      <c r="GW64" s="114"/>
      <c r="GX64" s="114"/>
      <c r="HE64" s="113"/>
      <c r="HF64" s="113"/>
      <c r="HG64" s="113"/>
      <c r="HH64" s="113"/>
      <c r="HI64" s="113"/>
      <c r="HJ64" s="115"/>
      <c r="HK64" s="115"/>
      <c r="HL64" s="114"/>
      <c r="HV64" s="116"/>
    </row>
    <row r="65" spans="1:230" ht="21" customHeight="1" x14ac:dyDescent="0.2">
      <c r="A65" s="128">
        <v>62</v>
      </c>
      <c r="B65" s="129" t="s">
        <v>108</v>
      </c>
      <c r="C65" s="117">
        <v>526714</v>
      </c>
      <c r="D65" s="117">
        <v>532655</v>
      </c>
      <c r="E65" s="117">
        <v>538133</v>
      </c>
      <c r="F65" s="117">
        <v>540649</v>
      </c>
      <c r="G65" s="151">
        <v>547974</v>
      </c>
      <c r="H65" s="155">
        <v>346661</v>
      </c>
      <c r="I65" s="155">
        <v>70771</v>
      </c>
      <c r="J65" s="155">
        <v>4038</v>
      </c>
      <c r="K65" s="155">
        <v>85073</v>
      </c>
      <c r="L65" s="155">
        <v>41431</v>
      </c>
      <c r="M65" s="40">
        <v>207949</v>
      </c>
      <c r="N65" s="40">
        <v>209659</v>
      </c>
      <c r="O65" s="40">
        <v>210222</v>
      </c>
      <c r="P65" s="106">
        <v>212672</v>
      </c>
      <c r="Q65" s="106">
        <v>214112</v>
      </c>
      <c r="R65" s="51">
        <v>18.8</v>
      </c>
      <c r="S65" s="51">
        <v>19.3</v>
      </c>
      <c r="T65" s="51">
        <v>19.827504870156901</v>
      </c>
      <c r="U65" s="51">
        <v>20.44970585050709</v>
      </c>
      <c r="V65" s="51">
        <v>21.245042676389772</v>
      </c>
      <c r="W65" s="38">
        <v>29.1</v>
      </c>
      <c r="X65" s="38">
        <v>29.4</v>
      </c>
      <c r="Y65" s="38">
        <v>29.50538076024398</v>
      </c>
      <c r="Z65" s="38">
        <v>29.650935198269806</v>
      </c>
      <c r="AA65" s="38">
        <v>29.775635460676263</v>
      </c>
      <c r="AB65" s="51">
        <v>47.9</v>
      </c>
      <c r="AC65" s="51">
        <v>48.7</v>
      </c>
      <c r="AD65" s="51">
        <v>49.332885630400881</v>
      </c>
      <c r="AE65" s="51">
        <v>50.100641048776893</v>
      </c>
      <c r="AF65" s="51">
        <v>51.020678137066035</v>
      </c>
      <c r="AG65" s="39">
        <v>5</v>
      </c>
      <c r="AH65" s="39">
        <v>3.9476579947109607</v>
      </c>
      <c r="AI65" s="39">
        <v>3.5334227268836838</v>
      </c>
      <c r="AJ65" s="39">
        <v>3.6311415824507893</v>
      </c>
      <c r="AK65" s="39">
        <v>3.3428380967671005</v>
      </c>
      <c r="AL65" s="43">
        <v>40767</v>
      </c>
      <c r="AM65" s="43">
        <v>37566.333333333336</v>
      </c>
      <c r="AN65" s="43">
        <v>35499.583333333336</v>
      </c>
      <c r="AO65" s="43">
        <v>34725.833333333336</v>
      </c>
      <c r="AP65" s="43">
        <v>33782.75</v>
      </c>
      <c r="AQ65" s="190">
        <v>47025.781602569703</v>
      </c>
      <c r="AR65" s="190">
        <v>48775.662450554279</v>
      </c>
      <c r="AS65" s="190">
        <v>50697.549242544374</v>
      </c>
      <c r="AT65" s="190">
        <v>51278.339551169061</v>
      </c>
      <c r="AU65" s="190">
        <v>53859.73</v>
      </c>
      <c r="AV65" s="162">
        <v>56392.350000000006</v>
      </c>
      <c r="AW65" s="162">
        <v>58544.72</v>
      </c>
      <c r="AX65" s="162">
        <v>57272.800000000003</v>
      </c>
      <c r="AY65" s="161">
        <v>59017.97</v>
      </c>
      <c r="AZ65" s="161">
        <v>61924</v>
      </c>
      <c r="BA65" s="49">
        <v>16.2</v>
      </c>
      <c r="BB65" s="49">
        <v>16.5</v>
      </c>
      <c r="BC65" s="49">
        <v>15.1</v>
      </c>
      <c r="BD65" s="49">
        <v>13.9</v>
      </c>
      <c r="BE65" s="49">
        <v>14</v>
      </c>
      <c r="BF65" s="42">
        <v>22.5</v>
      </c>
      <c r="BG65" s="42">
        <v>24.1</v>
      </c>
      <c r="BH65" s="42">
        <v>22.5</v>
      </c>
      <c r="BI65" s="42">
        <v>20.2</v>
      </c>
      <c r="BJ65" s="42">
        <v>19.600000000000001</v>
      </c>
      <c r="BK65" s="36">
        <v>88815</v>
      </c>
      <c r="BL65" s="36">
        <v>89383</v>
      </c>
      <c r="BM65" s="36">
        <v>88562</v>
      </c>
      <c r="BN65" s="36">
        <v>88811</v>
      </c>
      <c r="BO65" s="40">
        <v>57.298879693745427</v>
      </c>
      <c r="BP65" s="40">
        <v>56.781490887528946</v>
      </c>
      <c r="BQ65" s="40">
        <v>57.000745240622386</v>
      </c>
      <c r="BR65" s="40">
        <v>56.164213892423234</v>
      </c>
      <c r="BS65" s="51">
        <v>22.115633620446996</v>
      </c>
      <c r="BT65" s="51">
        <v>21.266907577503552</v>
      </c>
      <c r="BU65" s="51">
        <v>22.639506786206272</v>
      </c>
      <c r="BV65" s="51">
        <v>21.41176205650201</v>
      </c>
      <c r="BW65" s="39">
        <v>15.1055564938355</v>
      </c>
      <c r="BX65" s="39">
        <v>15.061029502254344</v>
      </c>
      <c r="BY65" s="39">
        <v>13.379327476795916</v>
      </c>
      <c r="BZ65" s="39">
        <v>14.930582923286531</v>
      </c>
      <c r="CA65" s="40">
        <v>73.54028085735402</v>
      </c>
      <c r="CB65" s="40">
        <v>74.192146065787568</v>
      </c>
      <c r="CC65" s="40">
        <v>77.099999999999994</v>
      </c>
      <c r="CD65" s="40">
        <v>76.180000000000007</v>
      </c>
      <c r="CE65" s="40">
        <v>4.9076127124907618</v>
      </c>
      <c r="CF65" s="40">
        <v>9.0256851772133739</v>
      </c>
      <c r="CG65" s="40">
        <v>6.28</v>
      </c>
      <c r="CH65" s="44">
        <v>6.17</v>
      </c>
      <c r="CI65" s="105">
        <v>37396</v>
      </c>
      <c r="CJ65" s="105">
        <v>37272</v>
      </c>
      <c r="CK65" s="104">
        <v>37946</v>
      </c>
      <c r="CL65" s="104">
        <v>38999</v>
      </c>
      <c r="CM65" s="39">
        <v>14.919781637210244</v>
      </c>
      <c r="CN65" s="39">
        <v>18.752981096077331</v>
      </c>
      <c r="CO65" s="39">
        <v>14.873819866305737</v>
      </c>
      <c r="CP65" s="39">
        <v>14.518683977849133</v>
      </c>
      <c r="CQ65" s="104">
        <v>1968</v>
      </c>
      <c r="CR65" s="104">
        <v>2082</v>
      </c>
      <c r="CS65" s="104">
        <v>2075</v>
      </c>
      <c r="CT65" s="104">
        <v>2180</v>
      </c>
      <c r="CU65" s="39">
        <v>5.4</v>
      </c>
      <c r="CV65" s="39">
        <v>5.8</v>
      </c>
      <c r="CW65" s="39">
        <v>5.7</v>
      </c>
      <c r="CX65" s="39">
        <v>5.8</v>
      </c>
      <c r="CY65" s="45">
        <v>2318</v>
      </c>
      <c r="CZ65" s="104">
        <v>2316</v>
      </c>
      <c r="DA65" s="104">
        <v>2596</v>
      </c>
      <c r="DB65" s="104">
        <v>2520</v>
      </c>
      <c r="DC65" s="39">
        <v>7.8</v>
      </c>
      <c r="DD65" s="39">
        <v>8.3000000000000007</v>
      </c>
      <c r="DE65" s="39">
        <v>7.7</v>
      </c>
      <c r="DF65" s="39">
        <v>6.7</v>
      </c>
      <c r="DG65" s="39">
        <v>78.8</v>
      </c>
      <c r="DH65" s="39">
        <v>81.599999999999994</v>
      </c>
      <c r="DI65" s="39">
        <v>77.2</v>
      </c>
      <c r="DJ65" s="39">
        <v>74.5</v>
      </c>
      <c r="DK65" s="39">
        <v>10.4</v>
      </c>
      <c r="DL65" s="39">
        <v>7.9</v>
      </c>
      <c r="DM65" s="39">
        <v>9.3000000000000007</v>
      </c>
      <c r="DN65" s="39">
        <v>6.5</v>
      </c>
      <c r="DO65" s="39">
        <v>34.200000000000003</v>
      </c>
      <c r="DP65" s="39">
        <v>40.6</v>
      </c>
      <c r="DQ65" s="39">
        <v>43.3</v>
      </c>
      <c r="DR65" s="39">
        <v>42</v>
      </c>
      <c r="DS65" s="39">
        <v>41.9</v>
      </c>
      <c r="DT65" s="39">
        <v>38.5</v>
      </c>
      <c r="DU65" s="39">
        <v>32</v>
      </c>
      <c r="DV65" s="39">
        <v>19.899999999999999</v>
      </c>
      <c r="DW65" s="45">
        <v>3442</v>
      </c>
      <c r="DX65" s="45">
        <v>1654</v>
      </c>
      <c r="DY65" s="15">
        <v>44</v>
      </c>
      <c r="DZ65" s="45">
        <v>1858</v>
      </c>
      <c r="EA65" s="45">
        <v>630</v>
      </c>
      <c r="EB65" s="45">
        <v>283</v>
      </c>
      <c r="EC65" s="45">
        <v>217</v>
      </c>
      <c r="ED65" s="45">
        <v>243</v>
      </c>
      <c r="EE65" s="45">
        <v>249</v>
      </c>
      <c r="EF65" s="104">
        <v>20398</v>
      </c>
      <c r="EG65" s="104">
        <v>18860</v>
      </c>
      <c r="EH65" s="104">
        <v>19050</v>
      </c>
      <c r="EI65" s="104">
        <v>20637</v>
      </c>
      <c r="EJ65" s="174">
        <v>3609</v>
      </c>
      <c r="EK65" s="174">
        <v>331</v>
      </c>
      <c r="EL65" s="174">
        <v>37</v>
      </c>
      <c r="EM65" s="174">
        <v>274</v>
      </c>
      <c r="EN65" s="174">
        <v>92</v>
      </c>
      <c r="EO65" s="39">
        <v>798.30100000000004</v>
      </c>
      <c r="EP65" s="39">
        <v>762.14300000000003</v>
      </c>
      <c r="EQ65" s="39">
        <v>749.05600000000004</v>
      </c>
      <c r="ER65" s="39">
        <v>766.98500000000001</v>
      </c>
      <c r="ES65" s="39">
        <v>813.59400000000005</v>
      </c>
      <c r="ET65" s="39">
        <v>688.26599999999996</v>
      </c>
      <c r="EU65" s="39">
        <v>693.72400000000005</v>
      </c>
      <c r="EV65" s="39">
        <v>691.60599999999999</v>
      </c>
      <c r="EW65" s="39">
        <v>1005.397</v>
      </c>
      <c r="EX65" s="39">
        <v>823.48599999999999</v>
      </c>
      <c r="EY65" s="39">
        <v>825.90099999999995</v>
      </c>
      <c r="EZ65" s="39">
        <v>808.85699999999997</v>
      </c>
      <c r="FA65" s="39">
        <v>688.78399999999999</v>
      </c>
      <c r="FB65" s="39">
        <v>590.49900000000002</v>
      </c>
      <c r="FC65" s="39">
        <v>595.06500000000005</v>
      </c>
      <c r="FD65" s="39">
        <v>600.54100000000005</v>
      </c>
      <c r="FE65" s="44">
        <v>4773</v>
      </c>
      <c r="FF65" s="44">
        <v>4530</v>
      </c>
      <c r="FG65" s="44">
        <v>4493</v>
      </c>
      <c r="FH65" s="44">
        <v>4456</v>
      </c>
      <c r="FI65" s="39">
        <v>199.214</v>
      </c>
      <c r="FJ65" s="39">
        <v>175.16499999999999</v>
      </c>
      <c r="FK65" s="39">
        <v>170.14099999999999</v>
      </c>
      <c r="FL65" s="39">
        <v>152.33000000000001</v>
      </c>
      <c r="FM65" s="45">
        <v>4286</v>
      </c>
      <c r="FN65" s="45">
        <v>3298</v>
      </c>
      <c r="FO65" s="45">
        <v>3201</v>
      </c>
      <c r="FP65" s="45">
        <v>3360</v>
      </c>
      <c r="FQ65" s="39">
        <v>168.94499999999999</v>
      </c>
      <c r="FR65" s="39">
        <v>117.25</v>
      </c>
      <c r="FS65" s="39">
        <v>112.98399999999999</v>
      </c>
      <c r="FT65" s="39">
        <v>109.95</v>
      </c>
      <c r="FU65" s="43">
        <v>1562</v>
      </c>
      <c r="FV65" s="43">
        <v>1254</v>
      </c>
      <c r="FW65" s="43">
        <v>1055</v>
      </c>
      <c r="FX65" s="45">
        <v>1195</v>
      </c>
      <c r="FY65" s="39">
        <v>60.75</v>
      </c>
      <c r="FZ65" s="39">
        <v>44.259</v>
      </c>
      <c r="GA65" s="39">
        <v>37.744</v>
      </c>
      <c r="GB65" s="39">
        <v>39.814</v>
      </c>
      <c r="GC65" s="150">
        <v>734</v>
      </c>
      <c r="GD65" s="150">
        <v>828</v>
      </c>
      <c r="GE65" s="150">
        <v>895</v>
      </c>
      <c r="GF65" s="150">
        <v>1295</v>
      </c>
      <c r="GG65" s="182">
        <v>28.716999999999999</v>
      </c>
      <c r="GH65" s="182">
        <v>31.245999999999999</v>
      </c>
      <c r="GI65" s="182">
        <v>33.343000000000004</v>
      </c>
      <c r="GJ65" s="182">
        <v>44.665999999999997</v>
      </c>
      <c r="GK65" s="182"/>
      <c r="GL65" s="114"/>
      <c r="GM65" s="114"/>
      <c r="GN65" s="114"/>
      <c r="GP65" s="114"/>
      <c r="GQ65" s="114"/>
      <c r="GR65" s="114"/>
      <c r="GS65" s="114"/>
      <c r="GU65" s="114"/>
      <c r="GV65" s="114"/>
      <c r="GW65" s="114"/>
      <c r="GX65" s="114"/>
      <c r="HE65" s="113"/>
      <c r="HF65" s="113"/>
      <c r="HG65" s="113"/>
      <c r="HH65" s="113"/>
      <c r="HI65" s="113"/>
      <c r="HJ65" s="115"/>
      <c r="HK65" s="115"/>
      <c r="HL65" s="114"/>
      <c r="HV65" s="116"/>
    </row>
    <row r="66" spans="1:230" x14ac:dyDescent="0.2">
      <c r="A66" s="128">
        <v>63</v>
      </c>
      <c r="B66" s="129" t="s">
        <v>109</v>
      </c>
      <c r="C66" s="117">
        <v>4057</v>
      </c>
      <c r="D66" s="117">
        <v>4043</v>
      </c>
      <c r="E66" s="117">
        <v>4055</v>
      </c>
      <c r="F66" s="117">
        <v>4007</v>
      </c>
      <c r="G66" s="151">
        <v>4030</v>
      </c>
      <c r="H66" s="155">
        <v>3743</v>
      </c>
      <c r="I66" s="155">
        <v>50</v>
      </c>
      <c r="J66" s="155">
        <v>75</v>
      </c>
      <c r="K66" s="155">
        <v>13</v>
      </c>
      <c r="L66" s="155">
        <v>149</v>
      </c>
      <c r="M66" s="40">
        <v>1737</v>
      </c>
      <c r="N66" s="40">
        <v>1727</v>
      </c>
      <c r="O66" s="40">
        <v>1733</v>
      </c>
      <c r="P66" s="106">
        <v>1719</v>
      </c>
      <c r="Q66" s="106">
        <v>1726</v>
      </c>
      <c r="R66" s="51">
        <v>29.9</v>
      </c>
      <c r="S66" s="51">
        <v>30.9</v>
      </c>
      <c r="T66" s="51">
        <v>32.082474226804123</v>
      </c>
      <c r="U66" s="51">
        <v>32.542655014565128</v>
      </c>
      <c r="V66" s="51">
        <v>33.887733887733887</v>
      </c>
      <c r="W66" s="38">
        <v>33.5</v>
      </c>
      <c r="X66" s="38">
        <v>36</v>
      </c>
      <c r="Y66" s="38">
        <v>35.134020618556697</v>
      </c>
      <c r="Z66" s="38">
        <v>34.207240948813983</v>
      </c>
      <c r="AA66" s="38">
        <v>33.679833679833685</v>
      </c>
      <c r="AB66" s="51">
        <v>63.4</v>
      </c>
      <c r="AC66" s="51">
        <v>66.900000000000006</v>
      </c>
      <c r="AD66" s="51">
        <v>67.216494845360828</v>
      </c>
      <c r="AE66" s="51">
        <v>66.749895963379117</v>
      </c>
      <c r="AF66" s="51">
        <v>67.567567567567565</v>
      </c>
      <c r="AG66" s="39">
        <v>6.6</v>
      </c>
      <c r="AH66" s="39">
        <v>5.662862159789289</v>
      </c>
      <c r="AI66" s="39">
        <v>5.8319039451114927</v>
      </c>
      <c r="AJ66" s="39">
        <v>7.1704594246457711</v>
      </c>
      <c r="AK66" s="39">
        <v>6.6151202749140898</v>
      </c>
      <c r="AL66" s="43">
        <v>157.41666666666666</v>
      </c>
      <c r="AM66" s="43">
        <v>144.5</v>
      </c>
      <c r="AN66" s="43">
        <v>146.33333333333334</v>
      </c>
      <c r="AO66" s="43">
        <v>155.75</v>
      </c>
      <c r="AP66" s="43">
        <v>160</v>
      </c>
      <c r="AQ66" s="190">
        <v>48060.480887792852</v>
      </c>
      <c r="AR66" s="190">
        <v>47125.258964143424</v>
      </c>
      <c r="AS66" s="190">
        <v>46232.096814028155</v>
      </c>
      <c r="AT66" s="190">
        <v>45971.622161217863</v>
      </c>
      <c r="AU66" s="190">
        <v>49066.11</v>
      </c>
      <c r="AV66" s="162">
        <v>47489.4</v>
      </c>
      <c r="AW66" s="162">
        <v>46819.76</v>
      </c>
      <c r="AX66" s="162">
        <v>50115.520000000004</v>
      </c>
      <c r="AY66" s="161">
        <v>53811.32</v>
      </c>
      <c r="AZ66" s="161">
        <v>51785</v>
      </c>
      <c r="BA66" s="49">
        <v>11.2</v>
      </c>
      <c r="BB66" s="49">
        <v>9.1999999999999993</v>
      </c>
      <c r="BC66" s="49">
        <v>9.6999999999999993</v>
      </c>
      <c r="BD66" s="49">
        <v>9.8000000000000007</v>
      </c>
      <c r="BE66" s="49">
        <v>10.3</v>
      </c>
      <c r="BF66" s="42">
        <v>14.2</v>
      </c>
      <c r="BG66" s="42">
        <v>11.5</v>
      </c>
      <c r="BH66" s="42">
        <v>12</v>
      </c>
      <c r="BI66" s="42">
        <v>11.9</v>
      </c>
      <c r="BJ66" s="42">
        <v>12.4</v>
      </c>
      <c r="BK66" s="36">
        <v>741</v>
      </c>
      <c r="BL66" s="36">
        <v>744</v>
      </c>
      <c r="BM66" s="36">
        <v>727</v>
      </c>
      <c r="BN66" s="36">
        <v>766</v>
      </c>
      <c r="BO66" s="40">
        <v>43.454790823211873</v>
      </c>
      <c r="BP66" s="40">
        <v>40.86021505376344</v>
      </c>
      <c r="BQ66" s="40">
        <v>40.990371389270976</v>
      </c>
      <c r="BR66" s="40">
        <v>39.686684073107045</v>
      </c>
      <c r="BS66" s="51">
        <v>0.1349527665317139</v>
      </c>
      <c r="BT66" s="51">
        <v>0.26881720430107525</v>
      </c>
      <c r="BU66" s="51">
        <v>0</v>
      </c>
      <c r="BV66" s="51">
        <v>0.26109660574412535</v>
      </c>
      <c r="BW66" s="39">
        <v>13.360323886639677</v>
      </c>
      <c r="BX66" s="39">
        <v>13.978494623655914</v>
      </c>
      <c r="BY66" s="39">
        <v>13.617606602475929</v>
      </c>
      <c r="BZ66" s="39">
        <v>13.185378590078328</v>
      </c>
      <c r="CA66" s="40">
        <v>92.682926829268297</v>
      </c>
      <c r="CB66" s="40">
        <v>93.442622950819683</v>
      </c>
      <c r="CC66" s="40">
        <v>94.12</v>
      </c>
      <c r="CD66" s="40">
        <v>91.38</v>
      </c>
      <c r="CE66" s="40">
        <v>4.8780487804878048</v>
      </c>
      <c r="CF66" s="40">
        <v>1.639344262295082</v>
      </c>
      <c r="CG66" s="40">
        <v>3.92</v>
      </c>
      <c r="CH66" s="45">
        <v>3.45</v>
      </c>
      <c r="CI66" s="105">
        <v>237</v>
      </c>
      <c r="CJ66" s="105">
        <v>249</v>
      </c>
      <c r="CK66" s="104">
        <v>289</v>
      </c>
      <c r="CL66" s="104">
        <v>234</v>
      </c>
      <c r="CM66" s="39">
        <v>11.074248866875379</v>
      </c>
      <c r="CN66" s="39">
        <v>14.74070565948378</v>
      </c>
      <c r="CO66" s="39">
        <v>14.071477261661311</v>
      </c>
      <c r="CP66" s="39">
        <v>11.588748019017434</v>
      </c>
      <c r="CQ66" s="104">
        <v>12</v>
      </c>
      <c r="CR66" s="104">
        <v>14</v>
      </c>
      <c r="CS66" s="104">
        <v>12</v>
      </c>
      <c r="CT66" s="104">
        <v>4</v>
      </c>
      <c r="CU66" s="39">
        <v>5.2</v>
      </c>
      <c r="CV66" s="39">
        <v>5.7</v>
      </c>
      <c r="CW66" s="39">
        <v>4.2</v>
      </c>
      <c r="CX66" s="39">
        <v>1.8</v>
      </c>
      <c r="CY66" s="36">
        <v>15</v>
      </c>
      <c r="CZ66" s="104">
        <v>19</v>
      </c>
      <c r="DA66" s="104">
        <v>14</v>
      </c>
      <c r="DB66" s="104">
        <v>12</v>
      </c>
      <c r="DC66" s="39">
        <v>6.7</v>
      </c>
      <c r="DD66" s="39">
        <v>8.1</v>
      </c>
      <c r="DE66" s="39">
        <v>5.0999999999999996</v>
      </c>
      <c r="DF66" s="39">
        <v>5.3</v>
      </c>
      <c r="DG66" s="39">
        <v>78.3</v>
      </c>
      <c r="DH66" s="39">
        <v>80.3</v>
      </c>
      <c r="DI66" s="39">
        <v>85.7</v>
      </c>
      <c r="DJ66" s="39">
        <v>87.8</v>
      </c>
      <c r="DK66" s="39">
        <v>12.7</v>
      </c>
      <c r="DL66" s="39">
        <v>15</v>
      </c>
      <c r="DM66" s="39">
        <v>19.399999999999999</v>
      </c>
      <c r="DN66" s="39">
        <v>15.5</v>
      </c>
      <c r="DO66" s="39">
        <v>23.6</v>
      </c>
      <c r="DP66" s="39">
        <v>28.1</v>
      </c>
      <c r="DQ66" s="39">
        <v>32.200000000000003</v>
      </c>
      <c r="DR66" s="39">
        <v>31.6</v>
      </c>
      <c r="DS66" s="39">
        <v>25</v>
      </c>
      <c r="DT66" s="39">
        <v>25</v>
      </c>
      <c r="DU66" s="39">
        <v>24.3</v>
      </c>
      <c r="DV66" s="39">
        <v>22.8</v>
      </c>
      <c r="DW66" s="45">
        <v>36</v>
      </c>
      <c r="DX66" s="45">
        <v>1</v>
      </c>
      <c r="DY66" s="15">
        <v>2</v>
      </c>
      <c r="DZ66" s="45">
        <v>0</v>
      </c>
      <c r="EA66" s="45">
        <v>2</v>
      </c>
      <c r="EB66" s="45">
        <v>1</v>
      </c>
      <c r="EC66" s="45">
        <v>3</v>
      </c>
      <c r="ED66" s="45"/>
      <c r="EE66" s="45"/>
      <c r="EF66" s="104">
        <v>245</v>
      </c>
      <c r="EG66" s="104">
        <v>232</v>
      </c>
      <c r="EH66" s="104">
        <v>201</v>
      </c>
      <c r="EI66" s="104">
        <v>159</v>
      </c>
      <c r="EJ66" s="174">
        <v>30</v>
      </c>
      <c r="EK66" s="174"/>
      <c r="EL66" s="174">
        <v>1</v>
      </c>
      <c r="EM66" s="174"/>
      <c r="EN66" s="174"/>
      <c r="EO66" s="39">
        <v>1139.8</v>
      </c>
      <c r="EP66" s="39">
        <v>1074.82</v>
      </c>
      <c r="EQ66" s="39">
        <v>983.125</v>
      </c>
      <c r="ER66" s="39">
        <v>784.21699999999998</v>
      </c>
      <c r="ES66" s="39">
        <v>779.31600000000003</v>
      </c>
      <c r="ET66" s="39">
        <v>712.18799999999999</v>
      </c>
      <c r="EU66" s="39">
        <v>739.32899999999995</v>
      </c>
      <c r="EV66" s="39">
        <v>551.48900000000003</v>
      </c>
      <c r="EW66" s="39">
        <v>988.70699999999999</v>
      </c>
      <c r="EX66" s="39">
        <v>941.66499999999996</v>
      </c>
      <c r="EY66" s="39">
        <v>1003</v>
      </c>
      <c r="EZ66" s="39">
        <v>718.57100000000003</v>
      </c>
      <c r="FA66" s="39">
        <v>606.61199999999997</v>
      </c>
      <c r="FB66" s="39">
        <v>548.87099999999998</v>
      </c>
      <c r="FC66" s="39">
        <v>521.13599999999997</v>
      </c>
      <c r="FD66" s="39">
        <v>397.63799999999998</v>
      </c>
      <c r="FE66" s="44">
        <v>46</v>
      </c>
      <c r="FF66" s="44">
        <v>50</v>
      </c>
      <c r="FG66" s="44">
        <v>49</v>
      </c>
      <c r="FH66" s="44">
        <v>42</v>
      </c>
      <c r="FI66" s="39">
        <v>154.946</v>
      </c>
      <c r="FJ66" s="39">
        <v>167.952</v>
      </c>
      <c r="FK66" s="39">
        <v>178.40199999999999</v>
      </c>
      <c r="FL66" s="39">
        <v>146.38900000000001</v>
      </c>
      <c r="FM66" s="45">
        <v>72</v>
      </c>
      <c r="FN66" s="45">
        <v>51</v>
      </c>
      <c r="FO66" s="36">
        <v>48</v>
      </c>
      <c r="FP66" s="45">
        <v>39</v>
      </c>
      <c r="FQ66" s="39">
        <v>226.27799999999999</v>
      </c>
      <c r="FR66" s="39">
        <v>143.21899999999999</v>
      </c>
      <c r="FS66" s="39">
        <v>174.648</v>
      </c>
      <c r="FT66" s="39">
        <v>123.02500000000001</v>
      </c>
      <c r="FU66" s="43">
        <v>31</v>
      </c>
      <c r="FV66" s="43">
        <v>19</v>
      </c>
      <c r="FW66" s="43">
        <v>12</v>
      </c>
      <c r="FX66" s="45">
        <v>9</v>
      </c>
      <c r="FY66" s="39">
        <v>89.653999999999996</v>
      </c>
      <c r="FZ66" s="39">
        <v>54.287999999999997</v>
      </c>
      <c r="GA66" s="39">
        <v>42.09</v>
      </c>
      <c r="GB66" s="39">
        <v>28.385000000000002</v>
      </c>
      <c r="GC66" s="150">
        <v>11</v>
      </c>
      <c r="GD66" s="150">
        <v>14</v>
      </c>
      <c r="GE66" s="150">
        <v>10</v>
      </c>
      <c r="GF66" s="150">
        <v>7</v>
      </c>
      <c r="GG66" s="182">
        <v>47.131</v>
      </c>
      <c r="GH66" s="182">
        <v>52.012</v>
      </c>
      <c r="GI66" s="182">
        <v>47.398000000000003</v>
      </c>
      <c r="GJ66" s="182">
        <v>28.308</v>
      </c>
      <c r="GK66" s="182"/>
      <c r="GL66" s="114"/>
      <c r="GM66" s="114"/>
      <c r="GN66" s="114"/>
      <c r="GP66" s="114"/>
      <c r="GQ66" s="114"/>
      <c r="GR66" s="114"/>
      <c r="GS66" s="114"/>
      <c r="GU66" s="114"/>
      <c r="GV66" s="114"/>
      <c r="GW66" s="114"/>
      <c r="GX66" s="114"/>
      <c r="HE66" s="113"/>
      <c r="HF66" s="113"/>
      <c r="HG66" s="113"/>
      <c r="HH66" s="113"/>
      <c r="HI66" s="113"/>
      <c r="HJ66" s="115"/>
      <c r="HK66" s="115"/>
      <c r="HL66" s="114"/>
      <c r="HV66" s="116"/>
    </row>
    <row r="67" spans="1:230" x14ac:dyDescent="0.2">
      <c r="A67" s="128">
        <v>64</v>
      </c>
      <c r="B67" s="129" t="s">
        <v>110</v>
      </c>
      <c r="C67" s="117">
        <v>15744</v>
      </c>
      <c r="D67" s="117">
        <v>15515</v>
      </c>
      <c r="E67" s="117">
        <v>15471</v>
      </c>
      <c r="F67" s="117">
        <v>15263</v>
      </c>
      <c r="G67" s="151">
        <v>15272</v>
      </c>
      <c r="H67" s="155">
        <v>13519</v>
      </c>
      <c r="I67" s="155">
        <v>145</v>
      </c>
      <c r="J67" s="155">
        <v>672</v>
      </c>
      <c r="K67" s="155">
        <v>415</v>
      </c>
      <c r="L67" s="155">
        <v>521</v>
      </c>
      <c r="M67" s="40">
        <v>6515</v>
      </c>
      <c r="N67" s="40">
        <v>6497</v>
      </c>
      <c r="O67" s="40">
        <v>6468</v>
      </c>
      <c r="P67" s="106">
        <v>6416</v>
      </c>
      <c r="Q67" s="106">
        <v>6428</v>
      </c>
      <c r="R67" s="51">
        <v>34.5</v>
      </c>
      <c r="S67" s="51">
        <v>34.700000000000003</v>
      </c>
      <c r="T67" s="51">
        <v>35.527759490893132</v>
      </c>
      <c r="U67" s="51">
        <v>35.844011142061284</v>
      </c>
      <c r="V67" s="51">
        <v>36.208828142505041</v>
      </c>
      <c r="W67" s="38">
        <v>34.4</v>
      </c>
      <c r="X67" s="38">
        <v>34.200000000000003</v>
      </c>
      <c r="Y67" s="38">
        <v>34.222075927145049</v>
      </c>
      <c r="Z67" s="38">
        <v>34.217270194986071</v>
      </c>
      <c r="AA67" s="38">
        <v>34.886847412054671</v>
      </c>
      <c r="AB67" s="51">
        <v>68.8</v>
      </c>
      <c r="AC67" s="51">
        <v>68.900000000000006</v>
      </c>
      <c r="AD67" s="51">
        <v>69.749835418038188</v>
      </c>
      <c r="AE67" s="51">
        <v>70.061281337047348</v>
      </c>
      <c r="AF67" s="51">
        <v>71.095675554559705</v>
      </c>
      <c r="AG67" s="39">
        <v>5.4</v>
      </c>
      <c r="AH67" s="39">
        <v>4.3305126928820306</v>
      </c>
      <c r="AI67" s="39">
        <v>3.8984478402117677</v>
      </c>
      <c r="AJ67" s="39">
        <v>4.1175054177702863</v>
      </c>
      <c r="AK67" s="39">
        <v>3.9246279404704749</v>
      </c>
      <c r="AL67" s="43">
        <v>539.83333333333337</v>
      </c>
      <c r="AM67" s="43">
        <v>477.16666666666669</v>
      </c>
      <c r="AN67" s="43">
        <v>434.91666666666669</v>
      </c>
      <c r="AO67" s="43">
        <v>400.75</v>
      </c>
      <c r="AP67" s="43">
        <v>403.58333333333331</v>
      </c>
      <c r="AQ67" s="190">
        <v>54176.60751764931</v>
      </c>
      <c r="AR67" s="190">
        <v>54140.826148500841</v>
      </c>
      <c r="AS67" s="190">
        <v>55644.029966416951</v>
      </c>
      <c r="AT67" s="190">
        <v>52763.965144467016</v>
      </c>
      <c r="AU67" s="190">
        <v>46412.83</v>
      </c>
      <c r="AV67" s="162">
        <v>51213.75</v>
      </c>
      <c r="AW67" s="162">
        <v>52471.12</v>
      </c>
      <c r="AX67" s="162">
        <v>51931.360000000001</v>
      </c>
      <c r="AY67" s="161">
        <v>49975.6</v>
      </c>
      <c r="AZ67" s="161">
        <v>53985</v>
      </c>
      <c r="BA67" s="49">
        <v>10.199999999999999</v>
      </c>
      <c r="BB67" s="49">
        <v>12.4</v>
      </c>
      <c r="BC67" s="49">
        <v>11</v>
      </c>
      <c r="BD67" s="49">
        <v>9.1</v>
      </c>
      <c r="BE67" s="49">
        <v>10</v>
      </c>
      <c r="BF67" s="42">
        <v>13.7</v>
      </c>
      <c r="BG67" s="42">
        <v>18.3</v>
      </c>
      <c r="BH67" s="42">
        <v>15.4</v>
      </c>
      <c r="BI67" s="42">
        <v>13.7</v>
      </c>
      <c r="BJ67" s="42">
        <v>13.4</v>
      </c>
      <c r="BK67" s="36">
        <v>2035</v>
      </c>
      <c r="BL67" s="36">
        <v>2063</v>
      </c>
      <c r="BM67" s="36">
        <v>2005</v>
      </c>
      <c r="BN67" s="36">
        <v>2533</v>
      </c>
      <c r="BO67" s="40">
        <v>40.442260442260441</v>
      </c>
      <c r="BP67" s="40">
        <v>42.074648570043628</v>
      </c>
      <c r="BQ67" s="40">
        <v>43.990024937655861</v>
      </c>
      <c r="BR67" s="40">
        <v>44.216344255823138</v>
      </c>
      <c r="BS67" s="51">
        <v>0.58968058968058967</v>
      </c>
      <c r="BT67" s="51">
        <v>0.33931168201648088</v>
      </c>
      <c r="BU67" s="51">
        <v>0.3491271820448878</v>
      </c>
      <c r="BV67" s="51">
        <v>1.9739439399921042</v>
      </c>
      <c r="BW67" s="39">
        <v>17.444717444717444</v>
      </c>
      <c r="BX67" s="39">
        <v>18.710615608337374</v>
      </c>
      <c r="BY67" s="39">
        <v>16.857855361596009</v>
      </c>
      <c r="BZ67" s="39">
        <v>17.252270035530991</v>
      </c>
      <c r="CA67" s="40">
        <v>88.235294117647058</v>
      </c>
      <c r="CB67" s="40">
        <v>89.949748743718601</v>
      </c>
      <c r="CC67" s="40">
        <v>92.86</v>
      </c>
      <c r="CD67" s="40">
        <v>91.62</v>
      </c>
      <c r="CE67" s="40">
        <v>5.2941176470588234</v>
      </c>
      <c r="CF67" s="40">
        <v>3.8647342995169081</v>
      </c>
      <c r="CG67" s="40">
        <v>0.55000000000000004</v>
      </c>
      <c r="CH67" s="42">
        <v>3.66</v>
      </c>
      <c r="CI67" s="105">
        <v>978</v>
      </c>
      <c r="CJ67" s="105">
        <v>1038</v>
      </c>
      <c r="CK67" s="104">
        <v>953</v>
      </c>
      <c r="CL67" s="104">
        <v>950</v>
      </c>
      <c r="CM67" s="39">
        <v>11.846934696498007</v>
      </c>
      <c r="CN67" s="39">
        <v>16.33796609635937</v>
      </c>
      <c r="CO67" s="39">
        <v>12.08853935434769</v>
      </c>
      <c r="CP67" s="39">
        <v>12.295347181777002</v>
      </c>
      <c r="CQ67" s="104">
        <v>28</v>
      </c>
      <c r="CR67" s="104">
        <v>33</v>
      </c>
      <c r="CS67" s="104">
        <v>41</v>
      </c>
      <c r="CT67" s="104">
        <v>55</v>
      </c>
      <c r="CU67" s="39">
        <v>3</v>
      </c>
      <c r="CV67" s="39">
        <v>3.3</v>
      </c>
      <c r="CW67" s="39">
        <v>4.4000000000000004</v>
      </c>
      <c r="CX67" s="39">
        <v>5.9</v>
      </c>
      <c r="CY67" s="36">
        <v>56</v>
      </c>
      <c r="CZ67" s="104">
        <v>65</v>
      </c>
      <c r="DA67" s="104">
        <v>70</v>
      </c>
      <c r="DB67" s="104">
        <v>72</v>
      </c>
      <c r="DC67" s="39">
        <v>6.5</v>
      </c>
      <c r="DD67" s="39">
        <v>7.7</v>
      </c>
      <c r="DE67" s="39">
        <v>8</v>
      </c>
      <c r="DF67" s="39">
        <v>7.8</v>
      </c>
      <c r="DG67" s="39">
        <v>87.9</v>
      </c>
      <c r="DH67" s="39">
        <v>84.1</v>
      </c>
      <c r="DI67" s="39">
        <v>84.3</v>
      </c>
      <c r="DJ67" s="39">
        <v>81.099999999999994</v>
      </c>
      <c r="DK67" s="39">
        <v>14.9</v>
      </c>
      <c r="DL67" s="39">
        <v>18</v>
      </c>
      <c r="DM67" s="39">
        <v>18.899999999999999</v>
      </c>
      <c r="DN67" s="39">
        <v>15.5</v>
      </c>
      <c r="DO67" s="39">
        <v>25.1</v>
      </c>
      <c r="DP67" s="39">
        <v>30.3</v>
      </c>
      <c r="DQ67" s="39">
        <v>38.799999999999997</v>
      </c>
      <c r="DR67" s="39">
        <v>36.200000000000003</v>
      </c>
      <c r="DS67" s="39">
        <v>29.2</v>
      </c>
      <c r="DT67" s="39">
        <v>23.6</v>
      </c>
      <c r="DU67" s="39">
        <v>28.7</v>
      </c>
      <c r="DV67" s="39">
        <v>13.2</v>
      </c>
      <c r="DW67" s="45">
        <v>157</v>
      </c>
      <c r="DX67" s="45">
        <v>3</v>
      </c>
      <c r="DY67" s="15">
        <v>6</v>
      </c>
      <c r="DZ67" s="45">
        <v>13</v>
      </c>
      <c r="EA67" s="45">
        <v>5</v>
      </c>
      <c r="EB67" s="45">
        <v>5</v>
      </c>
      <c r="EC67" s="45">
        <v>2</v>
      </c>
      <c r="ED67" s="45">
        <v>3</v>
      </c>
      <c r="EE67" s="45">
        <v>6</v>
      </c>
      <c r="EF67" s="104">
        <v>1065</v>
      </c>
      <c r="EG67" s="104">
        <v>1021</v>
      </c>
      <c r="EH67" s="104">
        <v>926</v>
      </c>
      <c r="EI67" s="104">
        <v>956</v>
      </c>
      <c r="EJ67" s="174">
        <v>189</v>
      </c>
      <c r="EK67" s="174">
        <v>1</v>
      </c>
      <c r="EL67" s="174">
        <v>5</v>
      </c>
      <c r="EM67" s="174">
        <v>3</v>
      </c>
      <c r="EN67" s="174">
        <v>1</v>
      </c>
      <c r="EO67" s="39">
        <v>1266.7260000000001</v>
      </c>
      <c r="EP67" s="39">
        <v>1274.498</v>
      </c>
      <c r="EQ67" s="39">
        <v>1153.2470000000001</v>
      </c>
      <c r="ER67" s="39">
        <v>1235.8610000000001</v>
      </c>
      <c r="ES67" s="39">
        <v>798.97199999999998</v>
      </c>
      <c r="ET67" s="39">
        <v>734.30799999999999</v>
      </c>
      <c r="EU67" s="39">
        <v>669.71699999999998</v>
      </c>
      <c r="EV67" s="39">
        <v>729.952</v>
      </c>
      <c r="EW67" s="39">
        <v>1006.995</v>
      </c>
      <c r="EX67" s="39">
        <v>946.40599999999995</v>
      </c>
      <c r="EY67" s="39">
        <v>876.03499999999997</v>
      </c>
      <c r="EZ67" s="39">
        <v>899.09500000000003</v>
      </c>
      <c r="FA67" s="39">
        <v>626.38900000000001</v>
      </c>
      <c r="FB67" s="39">
        <v>575.60799999999995</v>
      </c>
      <c r="FC67" s="39">
        <v>518.54399999999998</v>
      </c>
      <c r="FD67" s="39">
        <v>594.78399999999999</v>
      </c>
      <c r="FE67" s="44">
        <v>248</v>
      </c>
      <c r="FF67" s="44">
        <v>223</v>
      </c>
      <c r="FG67" s="44">
        <v>227</v>
      </c>
      <c r="FH67" s="44">
        <v>199</v>
      </c>
      <c r="FI67" s="39">
        <v>197.429</v>
      </c>
      <c r="FJ67" s="39">
        <v>180.23099999999999</v>
      </c>
      <c r="FK67" s="39">
        <v>177.34399999999999</v>
      </c>
      <c r="FL67" s="39">
        <v>159.37799999999999</v>
      </c>
      <c r="FM67" s="45">
        <v>305</v>
      </c>
      <c r="FN67" s="45">
        <v>274</v>
      </c>
      <c r="FO67" s="36">
        <v>209</v>
      </c>
      <c r="FP67" s="45">
        <v>203</v>
      </c>
      <c r="FQ67" s="39">
        <v>220.51300000000001</v>
      </c>
      <c r="FR67" s="39">
        <v>174.50800000000001</v>
      </c>
      <c r="FS67" s="39">
        <v>139.00700000000001</v>
      </c>
      <c r="FT67" s="39">
        <v>141.565</v>
      </c>
      <c r="FU67" s="43">
        <v>89</v>
      </c>
      <c r="FV67" s="43">
        <v>73</v>
      </c>
      <c r="FW67" s="43">
        <v>60</v>
      </c>
      <c r="FX67" s="45">
        <v>61</v>
      </c>
      <c r="FY67" s="39">
        <v>57.079000000000001</v>
      </c>
      <c r="FZ67" s="39">
        <v>45.75</v>
      </c>
      <c r="GA67" s="39">
        <v>41.637999999999998</v>
      </c>
      <c r="GB67" s="39">
        <v>41.988</v>
      </c>
      <c r="GC67" s="150">
        <v>42</v>
      </c>
      <c r="GD67" s="150">
        <v>46</v>
      </c>
      <c r="GE67" s="150">
        <v>45</v>
      </c>
      <c r="GF67" s="150">
        <v>53</v>
      </c>
      <c r="GG67" s="182">
        <v>47.725000000000001</v>
      </c>
      <c r="GH67" s="182">
        <v>46.338999999999999</v>
      </c>
      <c r="GI67" s="182">
        <v>47.18</v>
      </c>
      <c r="GJ67" s="182">
        <v>60.38</v>
      </c>
      <c r="GK67" s="182"/>
      <c r="GL67" s="114"/>
      <c r="GM67" s="114"/>
      <c r="GN67" s="114"/>
      <c r="GP67" s="114"/>
      <c r="GQ67" s="114"/>
      <c r="GR67" s="114"/>
      <c r="GS67" s="114"/>
      <c r="GU67" s="114"/>
      <c r="GV67" s="114"/>
      <c r="GW67" s="114"/>
      <c r="GX67" s="114"/>
      <c r="HE67" s="113"/>
      <c r="HF67" s="113"/>
      <c r="HG67" s="113"/>
      <c r="HH67" s="113"/>
      <c r="HI67" s="113"/>
      <c r="HJ67" s="115"/>
      <c r="HK67" s="115"/>
      <c r="HL67" s="114"/>
      <c r="HV67" s="116"/>
    </row>
    <row r="68" spans="1:230" x14ac:dyDescent="0.2">
      <c r="A68" s="128">
        <v>65</v>
      </c>
      <c r="B68" s="129" t="s">
        <v>111</v>
      </c>
      <c r="C68" s="117">
        <v>15166</v>
      </c>
      <c r="D68" s="117">
        <v>15025</v>
      </c>
      <c r="E68" s="117">
        <v>14892</v>
      </c>
      <c r="F68" s="117">
        <v>14660</v>
      </c>
      <c r="G68" s="151">
        <v>14645</v>
      </c>
      <c r="H68" s="155">
        <v>12929</v>
      </c>
      <c r="I68" s="155">
        <v>146</v>
      </c>
      <c r="J68" s="155">
        <v>151</v>
      </c>
      <c r="K68" s="155">
        <v>137</v>
      </c>
      <c r="L68" s="155">
        <v>1282</v>
      </c>
      <c r="M68" s="40">
        <v>6425</v>
      </c>
      <c r="N68" s="40">
        <v>6387</v>
      </c>
      <c r="O68" s="40">
        <v>6340</v>
      </c>
      <c r="P68" s="106">
        <v>6281</v>
      </c>
      <c r="Q68" s="106">
        <v>6281</v>
      </c>
      <c r="R68" s="51">
        <v>32.799999999999997</v>
      </c>
      <c r="S68" s="51">
        <v>33.299999999999997</v>
      </c>
      <c r="T68" s="51">
        <v>33.56382394907255</v>
      </c>
      <c r="U68" s="51">
        <v>34.614952220348513</v>
      </c>
      <c r="V68" s="51">
        <v>33.944331296673461</v>
      </c>
      <c r="W68" s="38">
        <v>29.8</v>
      </c>
      <c r="X68" s="38">
        <v>30.2</v>
      </c>
      <c r="Y68" s="38">
        <v>29.886949840851717</v>
      </c>
      <c r="Z68" s="38">
        <v>30.19673974142777</v>
      </c>
      <c r="AA68" s="38">
        <v>31.76057931658746</v>
      </c>
      <c r="AB68" s="51">
        <v>62.6</v>
      </c>
      <c r="AC68" s="51">
        <v>63.5</v>
      </c>
      <c r="AD68" s="51">
        <v>63.450773789924263</v>
      </c>
      <c r="AE68" s="51">
        <v>64.811691961776276</v>
      </c>
      <c r="AF68" s="51">
        <v>65.704910613260921</v>
      </c>
      <c r="AG68" s="39">
        <v>5.8</v>
      </c>
      <c r="AH68" s="39">
        <v>5.3040417526398835</v>
      </c>
      <c r="AI68" s="39">
        <v>4.8463768115942027</v>
      </c>
      <c r="AJ68" s="39">
        <v>5.2893738140417454</v>
      </c>
      <c r="AK68" s="39">
        <v>4.7378914037762403</v>
      </c>
      <c r="AL68" s="43">
        <v>609.16666666666663</v>
      </c>
      <c r="AM68" s="43">
        <v>564.83333333333337</v>
      </c>
      <c r="AN68" s="43">
        <v>523.41666666666663</v>
      </c>
      <c r="AO68" s="43">
        <v>520.75</v>
      </c>
      <c r="AP68" s="43">
        <v>523.33333333333337</v>
      </c>
      <c r="AQ68" s="190">
        <v>57448.631042920446</v>
      </c>
      <c r="AR68" s="190">
        <v>51908.653807648669</v>
      </c>
      <c r="AS68" s="190">
        <v>54118.839916560122</v>
      </c>
      <c r="AT68" s="190">
        <v>52044.789904502046</v>
      </c>
      <c r="AU68" s="190">
        <v>50110.53</v>
      </c>
      <c r="AV68" s="162">
        <v>53027.100000000006</v>
      </c>
      <c r="AW68" s="162">
        <v>55975.920000000006</v>
      </c>
      <c r="AX68" s="162">
        <v>56561.440000000002</v>
      </c>
      <c r="AY68" s="161">
        <v>58540.05</v>
      </c>
      <c r="AZ68" s="161">
        <v>54758</v>
      </c>
      <c r="BA68" s="49">
        <v>11.8</v>
      </c>
      <c r="BB68" s="49">
        <v>11.3</v>
      </c>
      <c r="BC68" s="49">
        <v>9.5</v>
      </c>
      <c r="BD68" s="49">
        <v>9.9</v>
      </c>
      <c r="BE68" s="49">
        <v>10.4</v>
      </c>
      <c r="BF68" s="42">
        <v>17.8</v>
      </c>
      <c r="BG68" s="42">
        <v>17.100000000000001</v>
      </c>
      <c r="BH68" s="42">
        <v>15.2</v>
      </c>
      <c r="BI68" s="42">
        <v>14.6</v>
      </c>
      <c r="BJ68" s="42">
        <v>14.3</v>
      </c>
      <c r="BK68" s="36">
        <v>1790</v>
      </c>
      <c r="BL68" s="36">
        <v>1770</v>
      </c>
      <c r="BM68" s="36">
        <v>1717</v>
      </c>
      <c r="BN68" s="36">
        <v>2182</v>
      </c>
      <c r="BO68" s="40">
        <v>46.927374301675975</v>
      </c>
      <c r="BP68" s="40">
        <v>45.988700564971751</v>
      </c>
      <c r="BQ68" s="40">
        <v>45.253348864298196</v>
      </c>
      <c r="BR68" s="40">
        <v>45.004582951420716</v>
      </c>
      <c r="BS68" s="51">
        <v>7.2625698324022343</v>
      </c>
      <c r="BT68" s="51">
        <v>8.1355932203389827</v>
      </c>
      <c r="BU68" s="51">
        <v>6.2317996505532909</v>
      </c>
      <c r="BV68" s="51">
        <v>5.8203483043079745</v>
      </c>
      <c r="BW68" s="39">
        <v>13.631284916201118</v>
      </c>
      <c r="BX68" s="39">
        <v>14.293785310734464</v>
      </c>
      <c r="BY68" s="39">
        <v>13.686662783925451</v>
      </c>
      <c r="BZ68" s="39">
        <v>16.544454628780937</v>
      </c>
      <c r="CA68" s="40">
        <v>89.473684210526315</v>
      </c>
      <c r="CB68" s="40">
        <v>88.235294117647058</v>
      </c>
      <c r="CC68" s="40">
        <v>91.27</v>
      </c>
      <c r="CD68" s="40">
        <v>88.03</v>
      </c>
      <c r="CE68" s="40">
        <v>3.7593984962406015</v>
      </c>
      <c r="CF68" s="40">
        <v>5.7553956834532372</v>
      </c>
      <c r="CG68" s="40">
        <v>4.76</v>
      </c>
      <c r="CH68" s="36">
        <v>5.98</v>
      </c>
      <c r="CI68" s="105">
        <v>1002</v>
      </c>
      <c r="CJ68" s="105">
        <v>981</v>
      </c>
      <c r="CK68" s="104">
        <v>950</v>
      </c>
      <c r="CL68" s="104">
        <v>864</v>
      </c>
      <c r="CM68" s="39">
        <v>11.792258535264972</v>
      </c>
      <c r="CN68" s="39">
        <v>14.834865714977015</v>
      </c>
      <c r="CO68" s="39">
        <v>12.151756248560977</v>
      </c>
      <c r="CP68" s="39">
        <v>11.614776576867236</v>
      </c>
      <c r="CQ68" s="104">
        <v>35</v>
      </c>
      <c r="CR68" s="104">
        <v>51</v>
      </c>
      <c r="CS68" s="104">
        <v>43</v>
      </c>
      <c r="CT68" s="104">
        <v>51</v>
      </c>
      <c r="CU68" s="39">
        <v>3.6</v>
      </c>
      <c r="CV68" s="39">
        <v>5.3</v>
      </c>
      <c r="CW68" s="39">
        <v>4.7</v>
      </c>
      <c r="CX68" s="39">
        <v>6.1</v>
      </c>
      <c r="CY68" s="36">
        <v>62</v>
      </c>
      <c r="CZ68" s="104">
        <v>78</v>
      </c>
      <c r="DA68" s="104">
        <v>56</v>
      </c>
      <c r="DB68" s="104">
        <v>70</v>
      </c>
      <c r="DC68" s="39">
        <v>6.8</v>
      </c>
      <c r="DD68" s="39">
        <v>8.9</v>
      </c>
      <c r="DE68" s="39">
        <v>6.4</v>
      </c>
      <c r="DF68" s="39">
        <v>8.4</v>
      </c>
      <c r="DG68" s="39">
        <v>82.5</v>
      </c>
      <c r="DH68" s="39">
        <v>86.2</v>
      </c>
      <c r="DI68" s="39">
        <v>85.1</v>
      </c>
      <c r="DJ68" s="39">
        <v>79.599999999999994</v>
      </c>
      <c r="DK68" s="39">
        <v>15.3</v>
      </c>
      <c r="DL68" s="39">
        <v>14.2</v>
      </c>
      <c r="DM68" s="39">
        <v>18.100000000000001</v>
      </c>
      <c r="DN68" s="39">
        <v>13</v>
      </c>
      <c r="DO68" s="39">
        <v>27.7</v>
      </c>
      <c r="DP68" s="39">
        <v>34.299999999999997</v>
      </c>
      <c r="DQ68" s="39">
        <v>38.9</v>
      </c>
      <c r="DR68" s="39">
        <v>38.5</v>
      </c>
      <c r="DS68" s="39">
        <v>35.6</v>
      </c>
      <c r="DT68" s="39">
        <v>33.200000000000003</v>
      </c>
      <c r="DU68" s="39">
        <v>42.6</v>
      </c>
      <c r="DV68" s="39">
        <v>27.6</v>
      </c>
      <c r="DW68" s="45">
        <v>146</v>
      </c>
      <c r="DX68" s="45">
        <v>3</v>
      </c>
      <c r="DY68" s="15">
        <v>2</v>
      </c>
      <c r="DZ68" s="45">
        <v>2</v>
      </c>
      <c r="EA68" s="45">
        <v>29</v>
      </c>
      <c r="EB68" s="45">
        <v>2</v>
      </c>
      <c r="EC68" s="45">
        <v>4</v>
      </c>
      <c r="ED68" s="45">
        <v>3</v>
      </c>
      <c r="EE68" s="45">
        <v>3</v>
      </c>
      <c r="EF68" s="104">
        <v>1105</v>
      </c>
      <c r="EG68" s="104">
        <v>982</v>
      </c>
      <c r="EH68" s="104">
        <v>1045</v>
      </c>
      <c r="EI68" s="104">
        <v>915</v>
      </c>
      <c r="EJ68" s="174">
        <v>171</v>
      </c>
      <c r="EK68" s="174"/>
      <c r="EL68" s="174">
        <v>2</v>
      </c>
      <c r="EM68" s="174"/>
      <c r="EN68" s="174">
        <v>1</v>
      </c>
      <c r="EO68" s="39">
        <v>1288.329</v>
      </c>
      <c r="EP68" s="39">
        <v>1171.558</v>
      </c>
      <c r="EQ68" s="39">
        <v>1328.671</v>
      </c>
      <c r="ER68" s="39">
        <v>1228.848</v>
      </c>
      <c r="ES68" s="39">
        <v>805.90899999999999</v>
      </c>
      <c r="ET68" s="39">
        <v>722.50300000000004</v>
      </c>
      <c r="EU68" s="39">
        <v>801.30399999999997</v>
      </c>
      <c r="EV68" s="39">
        <v>706.05100000000004</v>
      </c>
      <c r="EW68" s="39">
        <v>1046.402</v>
      </c>
      <c r="EX68" s="39">
        <v>839.13699999999994</v>
      </c>
      <c r="EY68" s="39">
        <v>959.96600000000001</v>
      </c>
      <c r="EZ68" s="39">
        <v>873.39300000000003</v>
      </c>
      <c r="FA68" s="39">
        <v>612.51199999999994</v>
      </c>
      <c r="FB68" s="39">
        <v>624.24900000000002</v>
      </c>
      <c r="FC68" s="39">
        <v>666.84</v>
      </c>
      <c r="FD68" s="39">
        <v>546.59400000000005</v>
      </c>
      <c r="FE68" s="44">
        <v>227</v>
      </c>
      <c r="FF68" s="44">
        <v>220</v>
      </c>
      <c r="FG68" s="44">
        <v>226</v>
      </c>
      <c r="FH68" s="44">
        <v>171</v>
      </c>
      <c r="FI68" s="39">
        <v>178.47900000000001</v>
      </c>
      <c r="FJ68" s="39">
        <v>170.13900000000001</v>
      </c>
      <c r="FK68" s="39">
        <v>188.09899999999999</v>
      </c>
      <c r="FL68" s="39">
        <v>143.02699999999999</v>
      </c>
      <c r="FM68" s="45">
        <v>295</v>
      </c>
      <c r="FN68" s="45">
        <v>231</v>
      </c>
      <c r="FO68" s="36">
        <v>216</v>
      </c>
      <c r="FP68" s="45">
        <v>198</v>
      </c>
      <c r="FQ68" s="39">
        <v>202.726</v>
      </c>
      <c r="FR68" s="39">
        <v>160.86500000000001</v>
      </c>
      <c r="FS68" s="39">
        <v>157.297</v>
      </c>
      <c r="FT68" s="39">
        <v>147.40299999999999</v>
      </c>
      <c r="FU68" s="43">
        <v>115</v>
      </c>
      <c r="FV68" s="43">
        <v>64</v>
      </c>
      <c r="FW68" s="43">
        <v>63</v>
      </c>
      <c r="FX68" s="45">
        <v>48</v>
      </c>
      <c r="FY68" s="39">
        <v>76.457999999999998</v>
      </c>
      <c r="FZ68" s="39">
        <v>39.598999999999997</v>
      </c>
      <c r="GA68" s="39">
        <v>40.491</v>
      </c>
      <c r="GB68" s="39">
        <v>35.026000000000003</v>
      </c>
      <c r="GC68" s="150">
        <v>46</v>
      </c>
      <c r="GD68" s="150">
        <v>49</v>
      </c>
      <c r="GE68" s="150">
        <v>47</v>
      </c>
      <c r="GF68" s="150">
        <v>56</v>
      </c>
      <c r="GG68" s="182">
        <v>46.351999999999997</v>
      </c>
      <c r="GH68" s="182">
        <v>46.023000000000003</v>
      </c>
      <c r="GI68" s="182">
        <v>48.956000000000003</v>
      </c>
      <c r="GJ68" s="182">
        <v>55.338999999999999</v>
      </c>
      <c r="GK68" s="182"/>
      <c r="GL68" s="114"/>
      <c r="GM68" s="114"/>
      <c r="GN68" s="114"/>
      <c r="GP68" s="114"/>
      <c r="GQ68" s="114"/>
      <c r="GR68" s="114"/>
      <c r="GS68" s="114"/>
      <c r="GU68" s="114"/>
      <c r="GV68" s="114"/>
      <c r="GW68" s="114"/>
      <c r="GX68" s="114"/>
      <c r="HE68" s="113"/>
      <c r="HF68" s="113"/>
      <c r="HG68" s="113"/>
      <c r="HH68" s="113"/>
      <c r="HI68" s="113"/>
      <c r="HJ68" s="115"/>
      <c r="HK68" s="115"/>
      <c r="HL68" s="114"/>
      <c r="HV68" s="116"/>
    </row>
    <row r="69" spans="1:230" x14ac:dyDescent="0.2">
      <c r="A69" s="128">
        <v>66</v>
      </c>
      <c r="B69" s="129" t="s">
        <v>112</v>
      </c>
      <c r="C69" s="117">
        <v>65049</v>
      </c>
      <c r="D69" s="117">
        <v>65151</v>
      </c>
      <c r="E69" s="117">
        <v>65400</v>
      </c>
      <c r="F69" s="117">
        <v>65622</v>
      </c>
      <c r="G69" s="151">
        <v>65968</v>
      </c>
      <c r="H69" s="155">
        <v>55150</v>
      </c>
      <c r="I69" s="155">
        <v>3542</v>
      </c>
      <c r="J69" s="155">
        <v>301</v>
      </c>
      <c r="K69" s="155">
        <v>1655</v>
      </c>
      <c r="L69" s="155">
        <v>5320</v>
      </c>
      <c r="M69" s="40">
        <v>22590</v>
      </c>
      <c r="N69" s="40">
        <v>22764</v>
      </c>
      <c r="O69" s="40">
        <v>22902</v>
      </c>
      <c r="P69" s="106">
        <v>23033</v>
      </c>
      <c r="Q69" s="106">
        <v>23197</v>
      </c>
      <c r="R69" s="51">
        <v>20</v>
      </c>
      <c r="S69" s="51">
        <v>21</v>
      </c>
      <c r="T69" s="51">
        <v>21.574330773076401</v>
      </c>
      <c r="U69" s="51">
        <v>22.345735027223228</v>
      </c>
      <c r="V69" s="51">
        <v>22.576773258447322</v>
      </c>
      <c r="W69" s="38">
        <v>27.2</v>
      </c>
      <c r="X69" s="38">
        <v>27.6</v>
      </c>
      <c r="Y69" s="38">
        <v>27.041767031768394</v>
      </c>
      <c r="Z69" s="38">
        <v>26.524500907441016</v>
      </c>
      <c r="AA69" s="38">
        <v>26.820817102998461</v>
      </c>
      <c r="AB69" s="51">
        <v>47.2</v>
      </c>
      <c r="AC69" s="51">
        <v>48.6</v>
      </c>
      <c r="AD69" s="51">
        <v>48.616097804844792</v>
      </c>
      <c r="AE69" s="51">
        <v>48.870235934664244</v>
      </c>
      <c r="AF69" s="51">
        <v>49.397590361445779</v>
      </c>
      <c r="AG69" s="39">
        <v>5.5</v>
      </c>
      <c r="AH69" s="39">
        <v>4.0390527154730727</v>
      </c>
      <c r="AI69" s="39">
        <v>3.5748412118486872</v>
      </c>
      <c r="AJ69" s="39">
        <v>3.5248551047703969</v>
      </c>
      <c r="AK69" s="39">
        <v>3.2444456501098666</v>
      </c>
      <c r="AL69" s="43">
        <v>2112.6666666666665</v>
      </c>
      <c r="AM69" s="43">
        <v>1944.1666666666667</v>
      </c>
      <c r="AN69" s="43">
        <v>1862.1666666666667</v>
      </c>
      <c r="AO69" s="43">
        <v>1814.5</v>
      </c>
      <c r="AP69" s="43">
        <v>1729.5</v>
      </c>
      <c r="AQ69" s="190">
        <v>38327.488920116746</v>
      </c>
      <c r="AR69" s="190">
        <v>39459.157441574418</v>
      </c>
      <c r="AS69" s="190">
        <v>41011.811636385923</v>
      </c>
      <c r="AT69" s="190">
        <v>41371.87071408979</v>
      </c>
      <c r="AU69" s="190">
        <v>43040.61</v>
      </c>
      <c r="AV69" s="162">
        <v>62298.600000000006</v>
      </c>
      <c r="AW69" s="162">
        <v>60989.760000000002</v>
      </c>
      <c r="AX69" s="162">
        <v>62729.68</v>
      </c>
      <c r="AY69" s="161">
        <v>61658.89</v>
      </c>
      <c r="AZ69" s="161">
        <v>65011</v>
      </c>
      <c r="BA69" s="49">
        <v>11.6</v>
      </c>
      <c r="BB69" s="49">
        <v>13</v>
      </c>
      <c r="BC69" s="49">
        <v>9.1999999999999993</v>
      </c>
      <c r="BD69" s="49">
        <v>9.6999999999999993</v>
      </c>
      <c r="BE69" s="49">
        <v>11.1</v>
      </c>
      <c r="BF69" s="42">
        <v>13.9</v>
      </c>
      <c r="BG69" s="42">
        <v>16</v>
      </c>
      <c r="BH69" s="42">
        <v>11.2</v>
      </c>
      <c r="BI69" s="42">
        <v>12.4</v>
      </c>
      <c r="BJ69" s="42">
        <v>13.8</v>
      </c>
      <c r="BK69" s="36">
        <v>8607</v>
      </c>
      <c r="BL69" s="36">
        <v>8667</v>
      </c>
      <c r="BM69" s="36">
        <v>8538</v>
      </c>
      <c r="BN69" s="36">
        <v>9251</v>
      </c>
      <c r="BO69" s="40">
        <v>42.651330312536309</v>
      </c>
      <c r="BP69" s="40">
        <v>41.456097842390676</v>
      </c>
      <c r="BQ69" s="40">
        <v>41.555399390958073</v>
      </c>
      <c r="BR69" s="40">
        <v>42.989947032753214</v>
      </c>
      <c r="BS69" s="51">
        <v>13.233414662484025</v>
      </c>
      <c r="BT69" s="51">
        <v>13.187954309449637</v>
      </c>
      <c r="BU69" s="51">
        <v>13.012415085500118</v>
      </c>
      <c r="BV69" s="51">
        <v>12.128418549346016</v>
      </c>
      <c r="BW69" s="39">
        <v>16.300685488555828</v>
      </c>
      <c r="BX69" s="39">
        <v>16.383985231337256</v>
      </c>
      <c r="BY69" s="39">
        <v>15.038650737877724</v>
      </c>
      <c r="BZ69" s="39">
        <v>17.72781320938277</v>
      </c>
      <c r="CA69" s="40">
        <v>80.903790087463562</v>
      </c>
      <c r="CB69" s="40">
        <v>82.789317507418403</v>
      </c>
      <c r="CC69" s="40">
        <v>79.42</v>
      </c>
      <c r="CD69" s="40">
        <v>78.14</v>
      </c>
      <c r="CE69" s="40">
        <v>5.1020408163265305</v>
      </c>
      <c r="CF69" s="40">
        <v>5.9347181008902075</v>
      </c>
      <c r="CG69" s="40">
        <v>6.86</v>
      </c>
      <c r="CH69" s="36">
        <v>4.92</v>
      </c>
      <c r="CI69" s="105">
        <v>3441</v>
      </c>
      <c r="CJ69" s="105">
        <v>3927</v>
      </c>
      <c r="CK69" s="104">
        <v>3739</v>
      </c>
      <c r="CL69" s="104">
        <v>3674</v>
      </c>
      <c r="CM69" s="39">
        <v>12.19244288224956</v>
      </c>
      <c r="CN69" s="39">
        <v>16.00883808529894</v>
      </c>
      <c r="CO69" s="39">
        <v>11.738740039809366</v>
      </c>
      <c r="CP69" s="39">
        <v>11.228949540022617</v>
      </c>
      <c r="CQ69" s="104">
        <v>166</v>
      </c>
      <c r="CR69" s="104">
        <v>186</v>
      </c>
      <c r="CS69" s="104">
        <v>188</v>
      </c>
      <c r="CT69" s="104">
        <v>165</v>
      </c>
      <c r="CU69" s="39">
        <v>5</v>
      </c>
      <c r="CV69" s="39">
        <v>4.9000000000000004</v>
      </c>
      <c r="CW69" s="39">
        <v>5.2</v>
      </c>
      <c r="CX69" s="39">
        <v>4.5999999999999996</v>
      </c>
      <c r="CY69" s="36">
        <v>266</v>
      </c>
      <c r="CZ69" s="104">
        <v>298</v>
      </c>
      <c r="DA69" s="104">
        <v>286</v>
      </c>
      <c r="DB69" s="104">
        <v>256</v>
      </c>
      <c r="DC69" s="39">
        <v>8.5</v>
      </c>
      <c r="DD69" s="39">
        <v>8.3000000000000007</v>
      </c>
      <c r="DE69" s="39">
        <v>8.6</v>
      </c>
      <c r="DF69" s="39">
        <v>7.2</v>
      </c>
      <c r="DG69" s="39">
        <v>83.6</v>
      </c>
      <c r="DH69" s="39">
        <v>84.5</v>
      </c>
      <c r="DI69" s="39">
        <v>83.8</v>
      </c>
      <c r="DJ69" s="39">
        <v>81.400000000000006</v>
      </c>
      <c r="DK69" s="39">
        <v>14.5</v>
      </c>
      <c r="DL69" s="39">
        <v>11.9</v>
      </c>
      <c r="DM69" s="39">
        <v>12.6</v>
      </c>
      <c r="DN69" s="39">
        <v>11.8</v>
      </c>
      <c r="DO69" s="39">
        <v>29.1</v>
      </c>
      <c r="DP69" s="39">
        <v>33</v>
      </c>
      <c r="DQ69" s="39">
        <v>36.5</v>
      </c>
      <c r="DR69" s="39">
        <v>33.1</v>
      </c>
      <c r="DS69" s="39">
        <v>21.1</v>
      </c>
      <c r="DT69" s="39">
        <v>20</v>
      </c>
      <c r="DU69" s="39">
        <v>18.600000000000001</v>
      </c>
      <c r="DV69" s="39">
        <v>9.5</v>
      </c>
      <c r="DW69" s="45">
        <v>530</v>
      </c>
      <c r="DX69" s="45">
        <v>124</v>
      </c>
      <c r="DY69" s="15">
        <v>3</v>
      </c>
      <c r="DZ69" s="45">
        <v>14</v>
      </c>
      <c r="EA69" s="45">
        <v>78</v>
      </c>
      <c r="EB69" s="45">
        <v>21</v>
      </c>
      <c r="EC69" s="45">
        <v>12</v>
      </c>
      <c r="ED69" s="45">
        <v>13</v>
      </c>
      <c r="EE69" s="45">
        <v>21</v>
      </c>
      <c r="EF69" s="104">
        <v>2093</v>
      </c>
      <c r="EG69" s="104">
        <v>2123</v>
      </c>
      <c r="EH69" s="104">
        <v>2222</v>
      </c>
      <c r="EI69" s="104">
        <v>2490</v>
      </c>
      <c r="EJ69" s="174">
        <v>568</v>
      </c>
      <c r="EK69" s="174">
        <v>3</v>
      </c>
      <c r="EL69" s="174">
        <v>2</v>
      </c>
      <c r="EM69" s="174">
        <v>1</v>
      </c>
      <c r="EN69" s="174">
        <v>3</v>
      </c>
      <c r="EO69" s="39">
        <v>738.72799999999995</v>
      </c>
      <c r="EP69" s="39">
        <v>696.64800000000002</v>
      </c>
      <c r="EQ69" s="39">
        <v>692.83799999999997</v>
      </c>
      <c r="ER69" s="39">
        <v>761.46799999999996</v>
      </c>
      <c r="ES69" s="39">
        <v>756.48</v>
      </c>
      <c r="ET69" s="39">
        <v>711.51300000000003</v>
      </c>
      <c r="EU69" s="39">
        <v>665.95100000000002</v>
      </c>
      <c r="EV69" s="39">
        <v>655.06100000000004</v>
      </c>
      <c r="EW69" s="39">
        <v>917.471</v>
      </c>
      <c r="EX69" s="39">
        <v>885.57500000000005</v>
      </c>
      <c r="EY69" s="39">
        <v>788.96299999999997</v>
      </c>
      <c r="EZ69" s="39">
        <v>734.49099999999999</v>
      </c>
      <c r="FA69" s="39">
        <v>645.70899999999995</v>
      </c>
      <c r="FB69" s="39">
        <v>592.822</v>
      </c>
      <c r="FC69" s="39">
        <v>572.58799999999997</v>
      </c>
      <c r="FD69" s="39">
        <v>589.44500000000005</v>
      </c>
      <c r="FE69" s="44">
        <v>508</v>
      </c>
      <c r="FF69" s="44">
        <v>530</v>
      </c>
      <c r="FG69" s="44">
        <v>549</v>
      </c>
      <c r="FH69" s="44">
        <v>564</v>
      </c>
      <c r="FI69" s="39">
        <v>193.14099999999999</v>
      </c>
      <c r="FJ69" s="39">
        <v>184.68600000000001</v>
      </c>
      <c r="FK69" s="39">
        <v>168.036</v>
      </c>
      <c r="FL69" s="39">
        <v>149.042</v>
      </c>
      <c r="FM69" s="45">
        <v>505</v>
      </c>
      <c r="FN69" s="45">
        <v>470</v>
      </c>
      <c r="FO69" s="36">
        <v>426</v>
      </c>
      <c r="FP69" s="45">
        <v>457</v>
      </c>
      <c r="FQ69" s="39">
        <v>181.01400000000001</v>
      </c>
      <c r="FR69" s="39">
        <v>154.80600000000001</v>
      </c>
      <c r="FS69" s="39">
        <v>125.68899999999999</v>
      </c>
      <c r="FT69" s="39">
        <v>117.367</v>
      </c>
      <c r="FU69" s="43">
        <v>152</v>
      </c>
      <c r="FV69" s="43">
        <v>124</v>
      </c>
      <c r="FW69" s="43">
        <v>116</v>
      </c>
      <c r="FX69" s="45">
        <v>154</v>
      </c>
      <c r="FY69" s="39">
        <v>53.366</v>
      </c>
      <c r="FZ69" s="39">
        <v>40.78</v>
      </c>
      <c r="GA69" s="39">
        <v>33.926000000000002</v>
      </c>
      <c r="GB69" s="39">
        <v>39.936</v>
      </c>
      <c r="GC69" s="150">
        <v>109</v>
      </c>
      <c r="GD69" s="150">
        <v>107</v>
      </c>
      <c r="GE69" s="150">
        <v>124</v>
      </c>
      <c r="GF69" s="150">
        <v>140</v>
      </c>
      <c r="GG69" s="182">
        <v>38.082999999999998</v>
      </c>
      <c r="GH69" s="182">
        <v>34.633000000000003</v>
      </c>
      <c r="GI69" s="182">
        <v>37.317999999999998</v>
      </c>
      <c r="GJ69" s="182">
        <v>39.036000000000001</v>
      </c>
      <c r="GK69" s="182"/>
      <c r="GL69" s="114"/>
      <c r="GM69" s="114"/>
      <c r="GN69" s="114"/>
      <c r="GP69" s="114"/>
      <c r="GQ69" s="114"/>
      <c r="GR69" s="114"/>
      <c r="GS69" s="114"/>
      <c r="GU69" s="114"/>
      <c r="GV69" s="114"/>
      <c r="GW69" s="114"/>
      <c r="GX69" s="114"/>
      <c r="HE69" s="113"/>
      <c r="HF69" s="113"/>
      <c r="HG69" s="113"/>
      <c r="HH69" s="113"/>
      <c r="HI69" s="113"/>
      <c r="HJ69" s="115"/>
      <c r="HK69" s="115"/>
      <c r="HL69" s="114"/>
      <c r="HV69" s="116"/>
    </row>
    <row r="70" spans="1:230" ht="21" customHeight="1" x14ac:dyDescent="0.2">
      <c r="A70" s="128">
        <v>67</v>
      </c>
      <c r="B70" s="129" t="s">
        <v>113</v>
      </c>
      <c r="C70" s="117">
        <v>9520</v>
      </c>
      <c r="D70" s="117">
        <v>9553</v>
      </c>
      <c r="E70" s="117">
        <v>9600</v>
      </c>
      <c r="F70" s="117">
        <v>9564</v>
      </c>
      <c r="G70" s="151">
        <v>9490</v>
      </c>
      <c r="H70" s="155">
        <v>8936</v>
      </c>
      <c r="I70" s="155">
        <v>126</v>
      </c>
      <c r="J70" s="155">
        <v>51</v>
      </c>
      <c r="K70" s="155">
        <v>78</v>
      </c>
      <c r="L70" s="155">
        <v>299</v>
      </c>
      <c r="M70" s="40">
        <v>3895</v>
      </c>
      <c r="N70" s="40">
        <v>3911</v>
      </c>
      <c r="O70" s="40">
        <v>3931</v>
      </c>
      <c r="P70" s="106">
        <v>3900</v>
      </c>
      <c r="Q70" s="106">
        <v>3911</v>
      </c>
      <c r="R70" s="51">
        <v>34.1</v>
      </c>
      <c r="S70" s="51">
        <v>34.799999999999997</v>
      </c>
      <c r="T70" s="51">
        <v>35.320284697508896</v>
      </c>
      <c r="U70" s="51">
        <v>35.392857142857146</v>
      </c>
      <c r="V70" s="51">
        <v>33.042394014962596</v>
      </c>
      <c r="W70" s="38">
        <v>35.200000000000003</v>
      </c>
      <c r="X70" s="38">
        <v>35.200000000000003</v>
      </c>
      <c r="Y70" s="38">
        <v>35.498220640569393</v>
      </c>
      <c r="Z70" s="38">
        <v>35.392857142857146</v>
      </c>
      <c r="AA70" s="38">
        <v>35.999287495546845</v>
      </c>
      <c r="AB70" s="51">
        <v>69.3</v>
      </c>
      <c r="AC70" s="51">
        <v>70</v>
      </c>
      <c r="AD70" s="51">
        <v>70.818505338078296</v>
      </c>
      <c r="AE70" s="51">
        <v>70.785714285714292</v>
      </c>
      <c r="AF70" s="51">
        <v>69.041681510509449</v>
      </c>
      <c r="AG70" s="39">
        <v>3.3</v>
      </c>
      <c r="AH70" s="39">
        <v>2.483268756604438</v>
      </c>
      <c r="AI70" s="39">
        <v>2.1456327082277413</v>
      </c>
      <c r="AJ70" s="39">
        <v>2.3323118828736806</v>
      </c>
      <c r="AK70" s="39">
        <v>2.1854191565647945</v>
      </c>
      <c r="AL70" s="43">
        <v>283.91666666666669</v>
      </c>
      <c r="AM70" s="43">
        <v>267.83333333333331</v>
      </c>
      <c r="AN70" s="43">
        <v>265</v>
      </c>
      <c r="AO70" s="43">
        <v>271.25</v>
      </c>
      <c r="AP70" s="43">
        <v>261.91666666666669</v>
      </c>
      <c r="AQ70" s="190">
        <v>52256.962822936359</v>
      </c>
      <c r="AR70" s="190">
        <v>51457.766572118919</v>
      </c>
      <c r="AS70" s="190">
        <v>52037.127393838469</v>
      </c>
      <c r="AT70" s="190">
        <v>48307.689251359261</v>
      </c>
      <c r="AU70" s="190">
        <v>49965.3</v>
      </c>
      <c r="AV70" s="162">
        <v>54354.3</v>
      </c>
      <c r="AW70" s="162">
        <v>56206.8</v>
      </c>
      <c r="AX70" s="162">
        <v>57566.080000000002</v>
      </c>
      <c r="AY70" s="161">
        <v>57125.86</v>
      </c>
      <c r="AZ70" s="161">
        <v>60041</v>
      </c>
      <c r="BA70" s="49">
        <v>10.5</v>
      </c>
      <c r="BB70" s="49">
        <v>9.6</v>
      </c>
      <c r="BC70" s="49">
        <v>9.6999999999999993</v>
      </c>
      <c r="BD70" s="49">
        <v>9.4</v>
      </c>
      <c r="BE70" s="49">
        <v>9.3000000000000007</v>
      </c>
      <c r="BF70" s="42">
        <v>13.5</v>
      </c>
      <c r="BG70" s="42">
        <v>12.1</v>
      </c>
      <c r="BH70" s="42">
        <v>12.6</v>
      </c>
      <c r="BI70" s="42">
        <v>11.4</v>
      </c>
      <c r="BJ70" s="42">
        <v>11.3</v>
      </c>
      <c r="BK70" s="36">
        <v>1566</v>
      </c>
      <c r="BL70" s="36">
        <v>1594</v>
      </c>
      <c r="BM70" s="36">
        <v>1629</v>
      </c>
      <c r="BN70" s="36">
        <v>1641</v>
      </c>
      <c r="BO70" s="40">
        <v>31.098339719029376</v>
      </c>
      <c r="BP70" s="40">
        <v>30.301129234629862</v>
      </c>
      <c r="BQ70" s="40">
        <v>30.939226519337016</v>
      </c>
      <c r="BR70" s="40">
        <v>28.884826325411332</v>
      </c>
      <c r="BS70" s="51">
        <v>2.554278416347382</v>
      </c>
      <c r="BT70" s="51">
        <v>2.8858218318695106</v>
      </c>
      <c r="BU70" s="51">
        <v>2.4554941682013505</v>
      </c>
      <c r="BV70" s="51">
        <v>2.0719073735527118</v>
      </c>
      <c r="BW70" s="39">
        <v>14.17624521072797</v>
      </c>
      <c r="BX70" s="39">
        <v>14.366373902132999</v>
      </c>
      <c r="BY70" s="39">
        <v>12.154696132596685</v>
      </c>
      <c r="BZ70" s="39">
        <v>15.356489945155394</v>
      </c>
      <c r="CA70" s="40">
        <v>87.704918032786878</v>
      </c>
      <c r="CB70" s="40">
        <v>92.452830188679243</v>
      </c>
      <c r="CC70" s="40">
        <v>93.94</v>
      </c>
      <c r="CD70" s="40">
        <v>90.24</v>
      </c>
      <c r="CE70" s="40">
        <v>3.278688524590164</v>
      </c>
      <c r="CF70" s="40">
        <v>2.8037383177570092</v>
      </c>
      <c r="CG70" s="40">
        <v>1.52</v>
      </c>
      <c r="CH70" s="36">
        <v>3.25</v>
      </c>
      <c r="CI70" s="105">
        <v>590</v>
      </c>
      <c r="CJ70" s="105">
        <v>666</v>
      </c>
      <c r="CK70" s="104">
        <v>586</v>
      </c>
      <c r="CL70" s="104">
        <v>547</v>
      </c>
      <c r="CM70" s="39">
        <v>12.132927531463354</v>
      </c>
      <c r="CN70" s="39">
        <v>17.46564565194587</v>
      </c>
      <c r="CO70" s="39">
        <v>12.256080982159663</v>
      </c>
      <c r="CP70" s="39">
        <v>11.461017872483081</v>
      </c>
      <c r="CQ70" s="104">
        <v>26</v>
      </c>
      <c r="CR70" s="104">
        <v>37</v>
      </c>
      <c r="CS70" s="104">
        <v>25</v>
      </c>
      <c r="CT70" s="104">
        <v>28</v>
      </c>
      <c r="CU70" s="39">
        <v>4.5</v>
      </c>
      <c r="CV70" s="39">
        <v>5.7</v>
      </c>
      <c r="CW70" s="39">
        <v>4.3</v>
      </c>
      <c r="CX70" s="39">
        <v>5.3</v>
      </c>
      <c r="CY70" s="36">
        <v>45</v>
      </c>
      <c r="CZ70" s="104">
        <v>65</v>
      </c>
      <c r="DA70" s="104">
        <v>48</v>
      </c>
      <c r="DB70" s="104">
        <v>35</v>
      </c>
      <c r="DC70" s="39">
        <v>8.6999999999999993</v>
      </c>
      <c r="DD70" s="39">
        <v>10.7</v>
      </c>
      <c r="DE70" s="39">
        <v>8.6999999999999993</v>
      </c>
      <c r="DF70" s="39">
        <v>6.6</v>
      </c>
      <c r="DG70" s="39">
        <v>84.9</v>
      </c>
      <c r="DH70" s="39">
        <v>86</v>
      </c>
      <c r="DI70" s="39">
        <v>86.9</v>
      </c>
      <c r="DJ70" s="39">
        <v>78.8</v>
      </c>
      <c r="DK70" s="39">
        <v>12.2</v>
      </c>
      <c r="DL70" s="39">
        <v>7.3</v>
      </c>
      <c r="DM70" s="39">
        <v>11.6</v>
      </c>
      <c r="DN70" s="39">
        <v>9.3000000000000007</v>
      </c>
      <c r="DO70" s="39">
        <v>21.4</v>
      </c>
      <c r="DP70" s="39">
        <v>21.3</v>
      </c>
      <c r="DQ70" s="39">
        <v>26.3</v>
      </c>
      <c r="DR70" s="39">
        <v>29.4</v>
      </c>
      <c r="DS70" s="39">
        <v>35.700000000000003</v>
      </c>
      <c r="DT70" s="39">
        <v>23.5</v>
      </c>
      <c r="DU70" s="39">
        <v>18.5</v>
      </c>
      <c r="DV70" s="39">
        <v>15.2</v>
      </c>
      <c r="DW70" s="45">
        <v>96</v>
      </c>
      <c r="DX70" s="45">
        <v>1</v>
      </c>
      <c r="DY70" s="15">
        <v>1</v>
      </c>
      <c r="DZ70" s="45">
        <v>1</v>
      </c>
      <c r="EA70" s="45">
        <v>9</v>
      </c>
      <c r="EB70" s="45">
        <v>5</v>
      </c>
      <c r="EC70" s="45">
        <v>1</v>
      </c>
      <c r="ED70" s="45">
        <v>1</v>
      </c>
      <c r="EE70" s="45">
        <v>3</v>
      </c>
      <c r="EF70" s="104">
        <v>622</v>
      </c>
      <c r="EG70" s="104">
        <v>615</v>
      </c>
      <c r="EH70" s="104">
        <v>632</v>
      </c>
      <c r="EI70" s="104">
        <v>574</v>
      </c>
      <c r="EJ70" s="174">
        <v>123</v>
      </c>
      <c r="EK70" s="174"/>
      <c r="EL70" s="174"/>
      <c r="EM70" s="174"/>
      <c r="EN70" s="174">
        <v>1</v>
      </c>
      <c r="EO70" s="39">
        <v>1279.704</v>
      </c>
      <c r="EP70" s="39">
        <v>1292.0170000000001</v>
      </c>
      <c r="EQ70" s="39">
        <v>1304.8420000000001</v>
      </c>
      <c r="ER70" s="39">
        <v>1195.8330000000001</v>
      </c>
      <c r="ES70" s="39">
        <v>770.46600000000001</v>
      </c>
      <c r="ET70" s="39">
        <v>762.31500000000005</v>
      </c>
      <c r="EU70" s="39">
        <v>753.36099999999999</v>
      </c>
      <c r="EV70" s="39">
        <v>677.12599999999998</v>
      </c>
      <c r="EW70" s="39">
        <v>989.13</v>
      </c>
      <c r="EX70" s="39">
        <v>1107.912</v>
      </c>
      <c r="EY70" s="39">
        <v>1050.3</v>
      </c>
      <c r="EZ70" s="39">
        <v>991.14</v>
      </c>
      <c r="FA70" s="39">
        <v>596.97</v>
      </c>
      <c r="FB70" s="39">
        <v>552.36800000000005</v>
      </c>
      <c r="FC70" s="39">
        <v>515.94500000000005</v>
      </c>
      <c r="FD70" s="39">
        <v>463.28300000000002</v>
      </c>
      <c r="FE70" s="44">
        <v>130</v>
      </c>
      <c r="FF70" s="44">
        <v>130</v>
      </c>
      <c r="FG70" s="44">
        <v>116</v>
      </c>
      <c r="FH70" s="44">
        <v>122</v>
      </c>
      <c r="FI70" s="39">
        <v>176.96799999999999</v>
      </c>
      <c r="FJ70" s="39">
        <v>178.03399999999999</v>
      </c>
      <c r="FK70" s="39">
        <v>147.89099999999999</v>
      </c>
      <c r="FL70" s="39">
        <v>157.69300000000001</v>
      </c>
      <c r="FM70" s="45">
        <v>169</v>
      </c>
      <c r="FN70" s="45">
        <v>151</v>
      </c>
      <c r="FO70" s="36">
        <v>151</v>
      </c>
      <c r="FP70" s="45">
        <v>135</v>
      </c>
      <c r="FQ70" s="39">
        <v>195.453</v>
      </c>
      <c r="FR70" s="39">
        <v>179.84899999999999</v>
      </c>
      <c r="FS70" s="39">
        <v>169.24</v>
      </c>
      <c r="FT70" s="39">
        <v>148.387</v>
      </c>
      <c r="FU70" s="43">
        <v>66</v>
      </c>
      <c r="FV70" s="43">
        <v>55</v>
      </c>
      <c r="FW70" s="43">
        <v>38</v>
      </c>
      <c r="FX70" s="45">
        <v>28</v>
      </c>
      <c r="FY70" s="39">
        <v>76.042000000000002</v>
      </c>
      <c r="FZ70" s="39">
        <v>62.662999999999997</v>
      </c>
      <c r="GA70" s="39">
        <v>42.93</v>
      </c>
      <c r="GB70" s="39">
        <v>27.398</v>
      </c>
      <c r="GC70" s="150">
        <v>23</v>
      </c>
      <c r="GD70" s="150">
        <v>23</v>
      </c>
      <c r="GE70" s="150">
        <v>42</v>
      </c>
      <c r="GF70" s="150">
        <v>30</v>
      </c>
      <c r="GG70" s="182">
        <v>38.631</v>
      </c>
      <c r="GH70" s="182">
        <v>40.975999999999999</v>
      </c>
      <c r="GI70" s="182">
        <v>61.021999999999998</v>
      </c>
      <c r="GJ70" s="182">
        <v>53.006999999999998</v>
      </c>
      <c r="GK70" s="182"/>
      <c r="GL70" s="114"/>
      <c r="GM70" s="114"/>
      <c r="GN70" s="114"/>
      <c r="GP70" s="114"/>
      <c r="GQ70" s="114"/>
      <c r="GR70" s="114"/>
      <c r="GS70" s="114"/>
      <c r="GU70" s="114"/>
      <c r="GV70" s="114"/>
      <c r="GW70" s="114"/>
      <c r="GX70" s="114"/>
      <c r="HE70" s="113"/>
      <c r="HF70" s="113"/>
      <c r="HG70" s="113"/>
      <c r="HH70" s="113"/>
      <c r="HI70" s="113"/>
      <c r="HJ70" s="115"/>
      <c r="HK70" s="115"/>
      <c r="HL70" s="114"/>
      <c r="HV70" s="116"/>
    </row>
    <row r="71" spans="1:230" x14ac:dyDescent="0.2">
      <c r="A71" s="128">
        <v>68</v>
      </c>
      <c r="B71" s="129" t="s">
        <v>114</v>
      </c>
      <c r="C71" s="117">
        <v>15520</v>
      </c>
      <c r="D71" s="117">
        <v>15679</v>
      </c>
      <c r="E71" s="117">
        <v>15770</v>
      </c>
      <c r="F71" s="117">
        <v>15626</v>
      </c>
      <c r="G71" s="151">
        <v>15327</v>
      </c>
      <c r="H71" s="155">
        <v>14226</v>
      </c>
      <c r="I71" s="155">
        <v>160</v>
      </c>
      <c r="J71" s="155">
        <v>295</v>
      </c>
      <c r="K71" s="155">
        <v>438</v>
      </c>
      <c r="L71" s="155">
        <v>208</v>
      </c>
      <c r="M71" s="40">
        <v>6301</v>
      </c>
      <c r="N71" s="40">
        <v>6346</v>
      </c>
      <c r="O71" s="40">
        <v>6370</v>
      </c>
      <c r="P71" s="106">
        <v>6372</v>
      </c>
      <c r="Q71" s="106">
        <v>6325</v>
      </c>
      <c r="R71" s="51">
        <v>23.7</v>
      </c>
      <c r="S71" s="51">
        <v>24.5</v>
      </c>
      <c r="T71" s="51">
        <v>25.009948269001193</v>
      </c>
      <c r="U71" s="51">
        <v>25.976641159887233</v>
      </c>
      <c r="V71" s="51">
        <v>26.317952933922516</v>
      </c>
      <c r="W71" s="38">
        <v>31.1</v>
      </c>
      <c r="X71" s="38">
        <v>31.3</v>
      </c>
      <c r="Y71" s="38">
        <v>31.874253879824909</v>
      </c>
      <c r="Z71" s="38">
        <v>31.353201772049939</v>
      </c>
      <c r="AA71" s="38">
        <v>31.188983660466551</v>
      </c>
      <c r="AB71" s="51">
        <v>54.8</v>
      </c>
      <c r="AC71" s="51">
        <v>55.7</v>
      </c>
      <c r="AD71" s="51">
        <v>56.884202148826105</v>
      </c>
      <c r="AE71" s="51">
        <v>57.329842931937172</v>
      </c>
      <c r="AF71" s="51">
        <v>57.506936594389067</v>
      </c>
      <c r="AG71" s="39">
        <v>4.2</v>
      </c>
      <c r="AH71" s="39">
        <v>3.5949194828759357</v>
      </c>
      <c r="AI71" s="39">
        <v>4.09612880312537</v>
      </c>
      <c r="AJ71" s="39">
        <v>5.1303718010622887</v>
      </c>
      <c r="AK71" s="39">
        <v>5.0244498777506115</v>
      </c>
      <c r="AL71" s="43">
        <v>393.25</v>
      </c>
      <c r="AM71" s="43">
        <v>382.41666666666669</v>
      </c>
      <c r="AN71" s="43">
        <v>354.41666666666669</v>
      </c>
      <c r="AO71" s="43">
        <v>383.66666666666669</v>
      </c>
      <c r="AP71" s="43">
        <v>373.5</v>
      </c>
      <c r="AQ71" s="190">
        <v>44308.47130065065</v>
      </c>
      <c r="AR71" s="190">
        <v>43909.022403258656</v>
      </c>
      <c r="AS71" s="190">
        <v>45659.774220294668</v>
      </c>
      <c r="AT71" s="190">
        <v>45780.751311916043</v>
      </c>
      <c r="AU71" s="190">
        <v>49553.3</v>
      </c>
      <c r="AV71" s="162">
        <v>55924.05</v>
      </c>
      <c r="AW71" s="162">
        <v>53639.040000000001</v>
      </c>
      <c r="AX71" s="162">
        <v>55991.520000000004</v>
      </c>
      <c r="AY71" s="161">
        <v>56048.480000000003</v>
      </c>
      <c r="AZ71" s="161">
        <v>58742</v>
      </c>
      <c r="BA71" s="49">
        <v>8.6999999999999993</v>
      </c>
      <c r="BB71" s="49">
        <v>9.1999999999999993</v>
      </c>
      <c r="BC71" s="49">
        <v>9.4</v>
      </c>
      <c r="BD71" s="49">
        <v>7.8</v>
      </c>
      <c r="BE71" s="49">
        <v>8.3000000000000007</v>
      </c>
      <c r="BF71" s="42">
        <v>11.9</v>
      </c>
      <c r="BG71" s="42">
        <v>12.3</v>
      </c>
      <c r="BH71" s="42">
        <v>12</v>
      </c>
      <c r="BI71" s="42">
        <v>11</v>
      </c>
      <c r="BJ71" s="42">
        <v>11</v>
      </c>
      <c r="BK71" s="36">
        <v>2904</v>
      </c>
      <c r="BL71" s="36">
        <v>2857</v>
      </c>
      <c r="BM71" s="36">
        <v>2781</v>
      </c>
      <c r="BN71" s="36">
        <v>2670</v>
      </c>
      <c r="BO71" s="40">
        <v>33.4366391184573</v>
      </c>
      <c r="BP71" s="40">
        <v>34.126706335316769</v>
      </c>
      <c r="BQ71" s="40">
        <v>34.879539733908665</v>
      </c>
      <c r="BR71" s="40">
        <v>34.044943820224724</v>
      </c>
      <c r="BS71" s="51">
        <v>1.721763085399449</v>
      </c>
      <c r="BT71" s="51">
        <v>1.7500875043752186</v>
      </c>
      <c r="BU71" s="51">
        <v>1.3664149586479684</v>
      </c>
      <c r="BV71" s="51">
        <v>1.2734082397003745</v>
      </c>
      <c r="BW71" s="39">
        <v>16.59779614325069</v>
      </c>
      <c r="BX71" s="39">
        <v>15.890794539726986</v>
      </c>
      <c r="BY71" s="39">
        <v>14.563106796116505</v>
      </c>
      <c r="BZ71" s="39">
        <v>15.805243445692884</v>
      </c>
      <c r="CA71" s="40">
        <v>90.456431535269715</v>
      </c>
      <c r="CB71" s="40">
        <v>90.983606557377044</v>
      </c>
      <c r="CC71" s="40">
        <v>89.95</v>
      </c>
      <c r="CD71" s="40">
        <v>93.15</v>
      </c>
      <c r="CE71" s="40">
        <v>5.809128630705394</v>
      </c>
      <c r="CF71" s="40">
        <v>4.583333333333333</v>
      </c>
      <c r="CG71" s="40">
        <v>5.29</v>
      </c>
      <c r="CH71" s="36">
        <v>3.65</v>
      </c>
      <c r="CI71" s="105">
        <v>1050</v>
      </c>
      <c r="CJ71" s="105">
        <v>1070</v>
      </c>
      <c r="CK71" s="104">
        <v>947</v>
      </c>
      <c r="CL71" s="104">
        <v>954</v>
      </c>
      <c r="CM71" s="39">
        <v>12.961202799619803</v>
      </c>
      <c r="CN71" s="39">
        <v>16.474210931485761</v>
      </c>
      <c r="CO71" s="39">
        <v>12.07584703076982</v>
      </c>
      <c r="CP71" s="39">
        <v>12.243012243012243</v>
      </c>
      <c r="CQ71" s="104">
        <v>47</v>
      </c>
      <c r="CR71" s="104">
        <v>53</v>
      </c>
      <c r="CS71" s="104">
        <v>40</v>
      </c>
      <c r="CT71" s="104">
        <v>29</v>
      </c>
      <c r="CU71" s="39">
        <v>4.5</v>
      </c>
      <c r="CV71" s="39">
        <v>5.0999999999999996</v>
      </c>
      <c r="CW71" s="39">
        <v>4.3</v>
      </c>
      <c r="CX71" s="39">
        <v>3.1</v>
      </c>
      <c r="CY71" s="36">
        <v>77</v>
      </c>
      <c r="CZ71" s="104">
        <v>70</v>
      </c>
      <c r="DA71" s="104">
        <v>63</v>
      </c>
      <c r="DB71" s="104">
        <v>41</v>
      </c>
      <c r="DC71" s="39">
        <v>7.7</v>
      </c>
      <c r="DD71" s="39">
        <v>7.3</v>
      </c>
      <c r="DE71" s="39">
        <v>7.2</v>
      </c>
      <c r="DF71" s="39">
        <v>4.4000000000000004</v>
      </c>
      <c r="DG71" s="39">
        <v>84.2</v>
      </c>
      <c r="DH71" s="39">
        <v>84.5</v>
      </c>
      <c r="DI71" s="39">
        <v>84.6</v>
      </c>
      <c r="DJ71" s="39">
        <v>86.9</v>
      </c>
      <c r="DK71" s="39">
        <v>17.3</v>
      </c>
      <c r="DL71" s="39">
        <v>15.1</v>
      </c>
      <c r="DM71" s="39">
        <v>16.899999999999999</v>
      </c>
      <c r="DN71" s="39">
        <v>19.5</v>
      </c>
      <c r="DO71" s="39">
        <v>25.2</v>
      </c>
      <c r="DP71" s="39">
        <v>30.6</v>
      </c>
      <c r="DQ71" s="39">
        <v>35.299999999999997</v>
      </c>
      <c r="DR71" s="39">
        <v>38.4</v>
      </c>
      <c r="DS71" s="39">
        <v>31.5</v>
      </c>
      <c r="DT71" s="39">
        <v>28.9</v>
      </c>
      <c r="DU71" s="39">
        <v>24.2</v>
      </c>
      <c r="DV71" s="39">
        <v>18.5</v>
      </c>
      <c r="DW71" s="45">
        <v>153</v>
      </c>
      <c r="DX71" s="45">
        <v>3</v>
      </c>
      <c r="DY71" s="15">
        <v>7</v>
      </c>
      <c r="DZ71" s="45">
        <v>7</v>
      </c>
      <c r="EA71" s="45">
        <v>7</v>
      </c>
      <c r="EB71" s="45">
        <v>9</v>
      </c>
      <c r="EC71" s="45">
        <v>6</v>
      </c>
      <c r="ED71" s="45">
        <v>4</v>
      </c>
      <c r="EE71" s="45">
        <v>8</v>
      </c>
      <c r="EF71" s="104">
        <v>670</v>
      </c>
      <c r="EG71" s="104">
        <v>675</v>
      </c>
      <c r="EH71" s="104">
        <v>647</v>
      </c>
      <c r="EI71" s="104">
        <v>692</v>
      </c>
      <c r="EJ71" s="174">
        <v>140</v>
      </c>
      <c r="EK71" s="174"/>
      <c r="EL71" s="174">
        <v>1</v>
      </c>
      <c r="EM71" s="174"/>
      <c r="EN71" s="174">
        <v>1</v>
      </c>
      <c r="EO71" s="39">
        <v>820.17399999999998</v>
      </c>
      <c r="EP71" s="39">
        <v>818.43</v>
      </c>
      <c r="EQ71" s="39">
        <v>827.94799999999998</v>
      </c>
      <c r="ER71" s="39">
        <v>877.61599999999999</v>
      </c>
      <c r="ES71" s="39">
        <v>741.96699999999998</v>
      </c>
      <c r="ET71" s="39">
        <v>728.65899999999999</v>
      </c>
      <c r="EU71" s="39">
        <v>684.08500000000004</v>
      </c>
      <c r="EV71" s="39">
        <v>686.39</v>
      </c>
      <c r="EW71" s="39">
        <v>933.58199999999999</v>
      </c>
      <c r="EX71" s="39">
        <v>947.77200000000005</v>
      </c>
      <c r="EY71" s="39">
        <v>828.14499999999998</v>
      </c>
      <c r="EZ71" s="39">
        <v>859.10199999999998</v>
      </c>
      <c r="FA71" s="39">
        <v>587.44399999999996</v>
      </c>
      <c r="FB71" s="39">
        <v>560.50300000000004</v>
      </c>
      <c r="FC71" s="39">
        <v>554.46400000000006</v>
      </c>
      <c r="FD71" s="39">
        <v>535.971</v>
      </c>
      <c r="FE71" s="44">
        <v>152</v>
      </c>
      <c r="FF71" s="44">
        <v>154</v>
      </c>
      <c r="FG71" s="44">
        <v>141</v>
      </c>
      <c r="FH71" s="44">
        <v>152</v>
      </c>
      <c r="FI71" s="39">
        <v>178.779</v>
      </c>
      <c r="FJ71" s="39">
        <v>177.976</v>
      </c>
      <c r="FK71" s="39">
        <v>150.61799999999999</v>
      </c>
      <c r="FL71" s="39">
        <v>151.24</v>
      </c>
      <c r="FM71" s="45">
        <v>226</v>
      </c>
      <c r="FN71" s="45">
        <v>177</v>
      </c>
      <c r="FO71" s="36">
        <v>148</v>
      </c>
      <c r="FP71" s="45">
        <v>168</v>
      </c>
      <c r="FQ71" s="39">
        <v>246.10499999999999</v>
      </c>
      <c r="FR71" s="39">
        <v>183.24299999999999</v>
      </c>
      <c r="FS71" s="39">
        <v>154.989</v>
      </c>
      <c r="FT71" s="39">
        <v>161.69900000000001</v>
      </c>
      <c r="FU71" s="43">
        <v>49</v>
      </c>
      <c r="FV71" s="43">
        <v>44</v>
      </c>
      <c r="FW71" s="43">
        <v>43</v>
      </c>
      <c r="FX71" s="45">
        <v>44</v>
      </c>
      <c r="FY71" s="39">
        <v>50.649000000000001</v>
      </c>
      <c r="FZ71" s="39">
        <v>45.606000000000002</v>
      </c>
      <c r="GA71" s="39">
        <v>43.634</v>
      </c>
      <c r="GB71" s="39">
        <v>41.756999999999998</v>
      </c>
      <c r="GC71" s="150">
        <v>31</v>
      </c>
      <c r="GD71" s="150">
        <v>38</v>
      </c>
      <c r="GE71" s="150">
        <v>31</v>
      </c>
      <c r="GF71" s="150">
        <v>30</v>
      </c>
      <c r="GG71" s="182">
        <v>37.456000000000003</v>
      </c>
      <c r="GH71" s="182">
        <v>42.518999999999998</v>
      </c>
      <c r="GI71" s="182">
        <v>35.137</v>
      </c>
      <c r="GJ71" s="182">
        <v>35.537999999999997</v>
      </c>
      <c r="GK71" s="182"/>
      <c r="GL71" s="114"/>
      <c r="GM71" s="114"/>
      <c r="GN71" s="114"/>
      <c r="GP71" s="114"/>
      <c r="GQ71" s="114"/>
      <c r="GR71" s="114"/>
      <c r="GS71" s="114"/>
      <c r="GU71" s="114"/>
      <c r="GV71" s="114"/>
      <c r="GW71" s="114"/>
      <c r="GX71" s="114"/>
      <c r="HE71" s="113"/>
      <c r="HF71" s="113"/>
      <c r="HG71" s="113"/>
      <c r="HH71" s="113"/>
      <c r="HI71" s="113"/>
      <c r="HJ71" s="115"/>
      <c r="HK71" s="115"/>
      <c r="HL71" s="114"/>
      <c r="HV71" s="116"/>
    </row>
    <row r="72" spans="1:230" x14ac:dyDescent="0.2">
      <c r="A72" s="128">
        <v>69</v>
      </c>
      <c r="B72" s="129" t="s">
        <v>115</v>
      </c>
      <c r="C72" s="117">
        <v>200540</v>
      </c>
      <c r="D72" s="117">
        <v>200949</v>
      </c>
      <c r="E72" s="117">
        <v>200431</v>
      </c>
      <c r="F72" s="117">
        <v>199980</v>
      </c>
      <c r="G72" s="151">
        <v>200000</v>
      </c>
      <c r="H72" s="155">
        <v>184751</v>
      </c>
      <c r="I72" s="155">
        <v>4317</v>
      </c>
      <c r="J72" s="155">
        <v>4870</v>
      </c>
      <c r="K72" s="155">
        <v>2661</v>
      </c>
      <c r="L72" s="155">
        <v>3401</v>
      </c>
      <c r="M72" s="40">
        <v>85451</v>
      </c>
      <c r="N72" s="40">
        <v>85706</v>
      </c>
      <c r="O72" s="40">
        <v>85688</v>
      </c>
      <c r="P72" s="106">
        <v>85968</v>
      </c>
      <c r="Q72" s="106">
        <v>86191</v>
      </c>
      <c r="R72" s="51">
        <v>25.1</v>
      </c>
      <c r="S72" s="51">
        <v>25.8</v>
      </c>
      <c r="T72" s="51">
        <v>26.587134748791254</v>
      </c>
      <c r="U72" s="51">
        <v>27.519118393827547</v>
      </c>
      <c r="V72" s="51">
        <v>28.734058098524201</v>
      </c>
      <c r="W72" s="38">
        <v>23.8</v>
      </c>
      <c r="X72" s="38">
        <v>24</v>
      </c>
      <c r="Y72" s="38">
        <v>23.891107841076309</v>
      </c>
      <c r="Z72" s="38">
        <v>24.048627795757195</v>
      </c>
      <c r="AA72" s="38">
        <v>24.277593738763205</v>
      </c>
      <c r="AB72" s="51">
        <v>48.9</v>
      </c>
      <c r="AC72" s="51">
        <v>49.8</v>
      </c>
      <c r="AD72" s="51">
        <v>50.478242589867563</v>
      </c>
      <c r="AE72" s="51">
        <v>51.567746189584739</v>
      </c>
      <c r="AF72" s="51">
        <v>53.01165183728741</v>
      </c>
      <c r="AG72" s="39">
        <v>6.3</v>
      </c>
      <c r="AH72" s="39">
        <v>5.0284872298624759</v>
      </c>
      <c r="AI72" s="39">
        <v>5.0022590213526623</v>
      </c>
      <c r="AJ72" s="39">
        <v>5.8091122555693682</v>
      </c>
      <c r="AK72" s="39">
        <v>4.833759841554647</v>
      </c>
      <c r="AL72" s="43">
        <v>13181.666666666666</v>
      </c>
      <c r="AM72" s="43">
        <v>11506.75</v>
      </c>
      <c r="AN72" s="43">
        <v>10640</v>
      </c>
      <c r="AO72" s="43">
        <v>10425</v>
      </c>
      <c r="AP72" s="43">
        <v>10260</v>
      </c>
      <c r="AQ72" s="190">
        <v>42732.888752580715</v>
      </c>
      <c r="AR72" s="190">
        <v>43443.067493833616</v>
      </c>
      <c r="AS72" s="190">
        <v>44531.96352049226</v>
      </c>
      <c r="AT72" s="190">
        <v>44419.998999899995</v>
      </c>
      <c r="AU72" s="190">
        <v>45892.68</v>
      </c>
      <c r="AV72" s="162">
        <v>48931.05</v>
      </c>
      <c r="AW72" s="162">
        <v>47862.880000000005</v>
      </c>
      <c r="AX72" s="162">
        <v>51702.560000000005</v>
      </c>
      <c r="AY72" s="161">
        <v>51645.23</v>
      </c>
      <c r="AZ72" s="161">
        <v>53013</v>
      </c>
      <c r="BA72" s="49">
        <v>16.5</v>
      </c>
      <c r="BB72" s="49">
        <v>17</v>
      </c>
      <c r="BC72" s="49">
        <v>13.4</v>
      </c>
      <c r="BD72" s="49">
        <v>14.7</v>
      </c>
      <c r="BE72" s="49">
        <v>14.5</v>
      </c>
      <c r="BF72" s="42">
        <v>19</v>
      </c>
      <c r="BG72" s="42">
        <v>19.899999999999999</v>
      </c>
      <c r="BH72" s="42">
        <v>15.2</v>
      </c>
      <c r="BI72" s="42">
        <v>16.600000000000001</v>
      </c>
      <c r="BJ72" s="42">
        <v>14.5</v>
      </c>
      <c r="BK72" s="36">
        <v>25072</v>
      </c>
      <c r="BL72" s="36">
        <v>25010</v>
      </c>
      <c r="BM72" s="36">
        <v>24567</v>
      </c>
      <c r="BN72" s="36">
        <v>25363</v>
      </c>
      <c r="BO72" s="40">
        <v>41.827536694320358</v>
      </c>
      <c r="BP72" s="40">
        <v>40.67173130747701</v>
      </c>
      <c r="BQ72" s="40">
        <v>39.504212968616436</v>
      </c>
      <c r="BR72" s="40">
        <v>39.24220320939952</v>
      </c>
      <c r="BS72" s="51">
        <v>0.25127632418634333</v>
      </c>
      <c r="BT72" s="51">
        <v>0.29188324670131949</v>
      </c>
      <c r="BU72" s="51">
        <v>0.3174990841372573</v>
      </c>
      <c r="BV72" s="51">
        <v>0.33513385640499938</v>
      </c>
      <c r="BW72" s="39">
        <v>16.751754945756222</v>
      </c>
      <c r="BX72" s="39">
        <v>16.877249100359855</v>
      </c>
      <c r="BY72" s="39">
        <v>16.269792811495094</v>
      </c>
      <c r="BZ72" s="39">
        <v>17.718724125694909</v>
      </c>
      <c r="CA72" s="40">
        <v>78.802083333333329</v>
      </c>
      <c r="CB72" s="40">
        <v>78.214285714285708</v>
      </c>
      <c r="CC72" s="40">
        <v>79.39</v>
      </c>
      <c r="CD72" s="40">
        <v>80.8</v>
      </c>
      <c r="CE72" s="40">
        <v>6.197916666666667</v>
      </c>
      <c r="CF72" s="40">
        <v>7.7079107505070992</v>
      </c>
      <c r="CG72" s="40">
        <v>6.23</v>
      </c>
      <c r="CH72" s="36">
        <v>5.49</v>
      </c>
      <c r="CI72" s="105">
        <v>10057</v>
      </c>
      <c r="CJ72" s="105">
        <v>10623</v>
      </c>
      <c r="CK72" s="104">
        <v>10500</v>
      </c>
      <c r="CL72" s="104">
        <v>10061</v>
      </c>
      <c r="CM72" s="39">
        <v>10.175709830887129</v>
      </c>
      <c r="CN72" s="39">
        <v>13.479664397849954</v>
      </c>
      <c r="CO72" s="39">
        <v>10.548194701591571</v>
      </c>
      <c r="CP72" s="39">
        <v>9.9820123363822066</v>
      </c>
      <c r="CQ72" s="104">
        <v>465</v>
      </c>
      <c r="CR72" s="104">
        <v>480</v>
      </c>
      <c r="CS72" s="104">
        <v>469</v>
      </c>
      <c r="CT72" s="104">
        <v>490</v>
      </c>
      <c r="CU72" s="39">
        <v>4.8</v>
      </c>
      <c r="CV72" s="39">
        <v>4.7</v>
      </c>
      <c r="CW72" s="39">
        <v>4.5999999999999996</v>
      </c>
      <c r="CX72" s="39">
        <v>5</v>
      </c>
      <c r="CY72" s="36">
        <v>765</v>
      </c>
      <c r="CZ72" s="104">
        <v>968</v>
      </c>
      <c r="DA72" s="104">
        <v>733</v>
      </c>
      <c r="DB72" s="104">
        <v>674</v>
      </c>
      <c r="DC72" s="39">
        <v>8.5</v>
      </c>
      <c r="DD72" s="39">
        <v>9.6999999999999993</v>
      </c>
      <c r="DE72" s="39">
        <v>7.6</v>
      </c>
      <c r="DF72" s="39">
        <v>7</v>
      </c>
      <c r="DG72" s="39">
        <v>87.6</v>
      </c>
      <c r="DH72" s="39">
        <v>88.5</v>
      </c>
      <c r="DI72" s="39">
        <v>88.2</v>
      </c>
      <c r="DJ72" s="39">
        <v>86.7</v>
      </c>
      <c r="DK72" s="39">
        <v>22</v>
      </c>
      <c r="DL72" s="39">
        <v>22.6</v>
      </c>
      <c r="DM72" s="39">
        <v>19.899999999999999</v>
      </c>
      <c r="DN72" s="39">
        <v>18.600000000000001</v>
      </c>
      <c r="DO72" s="39">
        <v>34.1</v>
      </c>
      <c r="DP72" s="39">
        <v>39.5</v>
      </c>
      <c r="DQ72" s="39">
        <v>40.6</v>
      </c>
      <c r="DR72" s="39">
        <v>40.200000000000003</v>
      </c>
      <c r="DS72" s="39">
        <v>24.5</v>
      </c>
      <c r="DT72" s="39">
        <v>23.6</v>
      </c>
      <c r="DU72" s="39">
        <v>20.100000000000001</v>
      </c>
      <c r="DV72" s="39">
        <v>14.3</v>
      </c>
      <c r="DW72" s="45">
        <v>1752</v>
      </c>
      <c r="DX72" s="45">
        <v>80</v>
      </c>
      <c r="DY72" s="15">
        <v>85</v>
      </c>
      <c r="DZ72" s="45">
        <v>28</v>
      </c>
      <c r="EA72" s="45">
        <v>39</v>
      </c>
      <c r="EB72" s="45">
        <v>61</v>
      </c>
      <c r="EC72" s="45">
        <v>55</v>
      </c>
      <c r="ED72" s="45">
        <v>46</v>
      </c>
      <c r="EE72" s="45">
        <v>65</v>
      </c>
      <c r="EF72" s="104">
        <v>11003</v>
      </c>
      <c r="EG72" s="104">
        <v>10446</v>
      </c>
      <c r="EH72" s="104">
        <v>10409</v>
      </c>
      <c r="EI72" s="104">
        <v>10349</v>
      </c>
      <c r="EJ72" s="174">
        <v>2017</v>
      </c>
      <c r="EK72" s="174">
        <v>16</v>
      </c>
      <c r="EL72" s="174">
        <v>60</v>
      </c>
      <c r="EM72" s="174">
        <v>2</v>
      </c>
      <c r="EN72" s="174">
        <v>2</v>
      </c>
      <c r="EO72" s="39">
        <v>1097.403</v>
      </c>
      <c r="EP72" s="39">
        <v>1059.5450000000001</v>
      </c>
      <c r="EQ72" s="39">
        <v>1039.7249999999999</v>
      </c>
      <c r="ER72" s="39">
        <v>1032.675</v>
      </c>
      <c r="ES72" s="39">
        <v>843.96</v>
      </c>
      <c r="ET72" s="39">
        <v>777.46199999999999</v>
      </c>
      <c r="EU72" s="39">
        <v>767.04499999999996</v>
      </c>
      <c r="EV72" s="39">
        <v>746.471</v>
      </c>
      <c r="EW72" s="39">
        <v>1035.1990000000001</v>
      </c>
      <c r="EX72" s="39">
        <v>932.45399999999995</v>
      </c>
      <c r="EY72" s="39">
        <v>914.78300000000002</v>
      </c>
      <c r="EZ72" s="39">
        <v>881.31500000000005</v>
      </c>
      <c r="FA72" s="39">
        <v>699.05200000000002</v>
      </c>
      <c r="FB72" s="39">
        <v>659.50199999999995</v>
      </c>
      <c r="FC72" s="39">
        <v>648.68100000000004</v>
      </c>
      <c r="FD72" s="39">
        <v>632.98900000000003</v>
      </c>
      <c r="FE72" s="44">
        <v>2491</v>
      </c>
      <c r="FF72" s="44">
        <v>2477</v>
      </c>
      <c r="FG72" s="44">
        <v>2465</v>
      </c>
      <c r="FH72" s="44">
        <v>2354</v>
      </c>
      <c r="FI72" s="39">
        <v>198.268</v>
      </c>
      <c r="FJ72" s="39">
        <v>193.98099999999999</v>
      </c>
      <c r="FK72" s="39">
        <v>187.005</v>
      </c>
      <c r="FL72" s="39">
        <v>170.43600000000001</v>
      </c>
      <c r="FM72" s="45">
        <v>2875</v>
      </c>
      <c r="FN72" s="45">
        <v>2563</v>
      </c>
      <c r="FO72" s="45">
        <v>2230</v>
      </c>
      <c r="FP72" s="45">
        <v>1938</v>
      </c>
      <c r="FQ72" s="39">
        <v>213.994</v>
      </c>
      <c r="FR72" s="39">
        <v>180.42</v>
      </c>
      <c r="FS72" s="39">
        <v>158.601</v>
      </c>
      <c r="FT72" s="39">
        <v>133.42599999999999</v>
      </c>
      <c r="FU72" s="43">
        <v>783</v>
      </c>
      <c r="FV72" s="43">
        <v>602</v>
      </c>
      <c r="FW72" s="43">
        <v>488</v>
      </c>
      <c r="FX72" s="45">
        <v>503</v>
      </c>
      <c r="FY72" s="39">
        <v>56.093000000000004</v>
      </c>
      <c r="FZ72" s="39">
        <v>41.820999999999998</v>
      </c>
      <c r="GA72" s="39">
        <v>33.795000000000002</v>
      </c>
      <c r="GB72" s="39">
        <v>34.417000000000002</v>
      </c>
      <c r="GC72" s="150">
        <v>472</v>
      </c>
      <c r="GD72" s="150">
        <v>478</v>
      </c>
      <c r="GE72" s="150">
        <v>522</v>
      </c>
      <c r="GF72" s="150">
        <v>597</v>
      </c>
      <c r="GG72" s="182">
        <v>40.840000000000003</v>
      </c>
      <c r="GH72" s="182">
        <v>42.259</v>
      </c>
      <c r="GI72" s="182">
        <v>43.706000000000003</v>
      </c>
      <c r="GJ72" s="182">
        <v>52.274000000000001</v>
      </c>
      <c r="GK72" s="182"/>
      <c r="GL72" s="114"/>
      <c r="GM72" s="114"/>
      <c r="GN72" s="114"/>
      <c r="GP72" s="114"/>
      <c r="GQ72" s="114"/>
      <c r="GR72" s="114"/>
      <c r="GS72" s="114"/>
      <c r="GU72" s="114"/>
      <c r="GV72" s="114"/>
      <c r="GW72" s="114"/>
      <c r="GX72" s="114"/>
      <c r="HE72" s="113"/>
      <c r="HF72" s="113"/>
      <c r="HG72" s="113"/>
      <c r="HH72" s="113"/>
      <c r="HI72" s="113"/>
      <c r="HJ72" s="115"/>
      <c r="HK72" s="115"/>
      <c r="HL72" s="114"/>
      <c r="HV72" s="116"/>
    </row>
    <row r="73" spans="1:230" x14ac:dyDescent="0.2">
      <c r="A73" s="128">
        <v>70</v>
      </c>
      <c r="B73" s="129" t="s">
        <v>116</v>
      </c>
      <c r="C73" s="117">
        <v>137232</v>
      </c>
      <c r="D73" s="117">
        <v>139672</v>
      </c>
      <c r="E73" s="117">
        <v>141660</v>
      </c>
      <c r="F73" s="117">
        <v>143680</v>
      </c>
      <c r="G73" s="151">
        <v>145827</v>
      </c>
      <c r="H73" s="155">
        <v>120120</v>
      </c>
      <c r="I73" s="155">
        <v>6902</v>
      </c>
      <c r="J73" s="155">
        <v>1354</v>
      </c>
      <c r="K73" s="155">
        <v>9879</v>
      </c>
      <c r="L73" s="155">
        <v>7572</v>
      </c>
      <c r="M73" s="40">
        <v>47111</v>
      </c>
      <c r="N73" s="40">
        <v>47562</v>
      </c>
      <c r="O73" s="40">
        <v>48318</v>
      </c>
      <c r="P73" s="106">
        <v>48789</v>
      </c>
      <c r="Q73" s="106">
        <v>49185</v>
      </c>
      <c r="R73" s="51">
        <v>13.4</v>
      </c>
      <c r="S73" s="51">
        <v>13.9</v>
      </c>
      <c r="T73" s="51">
        <v>14.375244396064298</v>
      </c>
      <c r="U73" s="51">
        <v>15.16652041285362</v>
      </c>
      <c r="V73" s="51">
        <v>15.658579302529233</v>
      </c>
      <c r="W73" s="38">
        <v>36.6</v>
      </c>
      <c r="X73" s="38">
        <v>36.1</v>
      </c>
      <c r="Y73" s="38">
        <v>35.337821413851053</v>
      </c>
      <c r="Z73" s="38">
        <v>34.931678575905728</v>
      </c>
      <c r="AA73" s="38">
        <v>34.577860196775354</v>
      </c>
      <c r="AB73" s="51">
        <v>50</v>
      </c>
      <c r="AC73" s="51">
        <v>50</v>
      </c>
      <c r="AD73" s="51">
        <v>49.713065809915349</v>
      </c>
      <c r="AE73" s="51">
        <v>50.098198988759343</v>
      </c>
      <c r="AF73" s="51">
        <v>50.236439499304588</v>
      </c>
      <c r="AG73" s="39">
        <v>4.7</v>
      </c>
      <c r="AH73" s="39">
        <v>3.5337919661951509</v>
      </c>
      <c r="AI73" s="39">
        <v>3.132350337641316</v>
      </c>
      <c r="AJ73" s="39">
        <v>3.2509785659446462</v>
      </c>
      <c r="AK73" s="39">
        <v>3.0103260467752668</v>
      </c>
      <c r="AL73" s="43">
        <v>2729.5</v>
      </c>
      <c r="AM73" s="43">
        <v>2536.5833333333335</v>
      </c>
      <c r="AN73" s="43">
        <v>2449.5833333333335</v>
      </c>
      <c r="AO73" s="43">
        <v>2418.6666666666665</v>
      </c>
      <c r="AP73" s="43">
        <v>2215.4166666666665</v>
      </c>
      <c r="AQ73" s="190">
        <v>50493.268160691296</v>
      </c>
      <c r="AR73" s="190">
        <v>52654.304339407499</v>
      </c>
      <c r="AS73" s="190">
        <v>54132.098041846446</v>
      </c>
      <c r="AT73" s="190">
        <v>54924.75</v>
      </c>
      <c r="AU73" s="190">
        <v>58455.590000000004</v>
      </c>
      <c r="AV73" s="162">
        <v>90640.2</v>
      </c>
      <c r="AW73" s="162">
        <v>88900.24</v>
      </c>
      <c r="AX73" s="162">
        <v>95355.520000000004</v>
      </c>
      <c r="AY73" s="161">
        <v>95684.94</v>
      </c>
      <c r="AZ73" s="161">
        <v>99685</v>
      </c>
      <c r="BA73" s="49">
        <v>5.9</v>
      </c>
      <c r="BB73" s="49">
        <v>5.5</v>
      </c>
      <c r="BC73" s="49">
        <v>5.0999999999999996</v>
      </c>
      <c r="BD73" s="49">
        <v>5.5</v>
      </c>
      <c r="BE73" s="49">
        <v>4</v>
      </c>
      <c r="BF73" s="42">
        <v>6.7</v>
      </c>
      <c r="BG73" s="42">
        <v>6.9</v>
      </c>
      <c r="BH73" s="42">
        <v>6</v>
      </c>
      <c r="BI73" s="42">
        <v>6.6</v>
      </c>
      <c r="BJ73" s="42">
        <v>4.7</v>
      </c>
      <c r="BK73" s="36">
        <v>23860</v>
      </c>
      <c r="BL73" s="36">
        <v>24486</v>
      </c>
      <c r="BM73" s="36">
        <v>24693</v>
      </c>
      <c r="BN73" s="36">
        <v>27355</v>
      </c>
      <c r="BO73" s="40">
        <v>21.793797150041911</v>
      </c>
      <c r="BP73" s="40">
        <v>22.077922077922079</v>
      </c>
      <c r="BQ73" s="40">
        <v>21.913092779330174</v>
      </c>
      <c r="BR73" s="40">
        <v>23.407055382928167</v>
      </c>
      <c r="BS73" s="51">
        <v>5.3604358759430006</v>
      </c>
      <c r="BT73" s="51">
        <v>5.3377440169892996</v>
      </c>
      <c r="BU73" s="51">
        <v>5.5805288948284941</v>
      </c>
      <c r="BV73" s="51">
        <v>6.6020837141290434</v>
      </c>
      <c r="BW73" s="39">
        <v>13.709136630343671</v>
      </c>
      <c r="BX73" s="39">
        <v>13.55468430940129</v>
      </c>
      <c r="BY73" s="39">
        <v>12.537966225246022</v>
      </c>
      <c r="BZ73" s="39">
        <v>14.20946810455127</v>
      </c>
      <c r="CA73" s="40">
        <v>84.597432905484254</v>
      </c>
      <c r="CB73" s="40">
        <v>86.620096722192372</v>
      </c>
      <c r="CC73" s="40">
        <v>86.33</v>
      </c>
      <c r="CD73" s="40">
        <v>87.54</v>
      </c>
      <c r="CE73" s="40">
        <v>4.0256709451575263</v>
      </c>
      <c r="CF73" s="40">
        <v>3.0059044551798175</v>
      </c>
      <c r="CG73" s="40">
        <v>2.76</v>
      </c>
      <c r="CH73" s="36">
        <v>2.09</v>
      </c>
      <c r="CI73" s="105">
        <v>8440</v>
      </c>
      <c r="CJ73" s="105">
        <v>10634</v>
      </c>
      <c r="CK73" s="104">
        <v>9857</v>
      </c>
      <c r="CL73" s="104">
        <v>9292</v>
      </c>
      <c r="CM73" s="39">
        <v>18.644970165838615</v>
      </c>
      <c r="CN73" s="39">
        <v>21.909826456208162</v>
      </c>
      <c r="CO73" s="39">
        <v>14.968595864615983</v>
      </c>
      <c r="CP73" s="39">
        <v>13.122977780476816</v>
      </c>
      <c r="CQ73" s="104">
        <v>261</v>
      </c>
      <c r="CR73" s="104">
        <v>429</v>
      </c>
      <c r="CS73" s="104">
        <v>393</v>
      </c>
      <c r="CT73" s="104">
        <v>384</v>
      </c>
      <c r="CU73" s="39">
        <v>3.2</v>
      </c>
      <c r="CV73" s="39">
        <v>4.2</v>
      </c>
      <c r="CW73" s="39">
        <v>4.2</v>
      </c>
      <c r="CX73" s="39">
        <v>4.3</v>
      </c>
      <c r="CY73" s="36">
        <v>481</v>
      </c>
      <c r="CZ73" s="104">
        <v>735</v>
      </c>
      <c r="DA73" s="104">
        <v>606</v>
      </c>
      <c r="DB73" s="104">
        <v>579</v>
      </c>
      <c r="DC73" s="39">
        <v>6.6</v>
      </c>
      <c r="DD73" s="39">
        <v>7.8</v>
      </c>
      <c r="DE73" s="39">
        <v>6.7</v>
      </c>
      <c r="DF73" s="39">
        <v>6.5</v>
      </c>
      <c r="DG73" s="39">
        <v>87.8</v>
      </c>
      <c r="DH73" s="39">
        <v>89.7</v>
      </c>
      <c r="DI73" s="39">
        <v>88.5</v>
      </c>
      <c r="DJ73" s="39">
        <v>83.5</v>
      </c>
      <c r="DK73" s="39">
        <v>5.2</v>
      </c>
      <c r="DL73" s="39">
        <v>3.8</v>
      </c>
      <c r="DM73" s="39">
        <v>5.2</v>
      </c>
      <c r="DN73" s="39">
        <v>4.9000000000000004</v>
      </c>
      <c r="DO73" s="39">
        <v>12.9</v>
      </c>
      <c r="DP73" s="39">
        <v>16.7</v>
      </c>
      <c r="DQ73" s="39">
        <v>20.2</v>
      </c>
      <c r="DR73" s="39">
        <v>20.8</v>
      </c>
      <c r="DS73" s="39">
        <v>22.7</v>
      </c>
      <c r="DT73" s="39">
        <v>18.5</v>
      </c>
      <c r="DU73" s="39">
        <v>14.3</v>
      </c>
      <c r="DV73" s="39">
        <v>7.4</v>
      </c>
      <c r="DW73" s="45">
        <v>1427</v>
      </c>
      <c r="DX73" s="45">
        <v>142</v>
      </c>
      <c r="DY73" s="15">
        <v>15</v>
      </c>
      <c r="DZ73" s="45">
        <v>133</v>
      </c>
      <c r="EA73" s="45">
        <v>110</v>
      </c>
      <c r="EB73" s="45">
        <v>22</v>
      </c>
      <c r="EC73" s="45">
        <v>35</v>
      </c>
      <c r="ED73" s="45">
        <v>47</v>
      </c>
      <c r="EE73" s="45">
        <v>28</v>
      </c>
      <c r="EF73" s="104">
        <v>1948</v>
      </c>
      <c r="EG73" s="104">
        <v>2294</v>
      </c>
      <c r="EH73" s="104">
        <v>2683</v>
      </c>
      <c r="EI73" s="104">
        <v>3274</v>
      </c>
      <c r="EJ73" s="174">
        <v>636</v>
      </c>
      <c r="EK73" s="174">
        <v>11</v>
      </c>
      <c r="EL73" s="174">
        <v>6</v>
      </c>
      <c r="EM73" s="174">
        <v>23</v>
      </c>
      <c r="EN73" s="174">
        <v>6</v>
      </c>
      <c r="EO73" s="39">
        <v>435.31700000000001</v>
      </c>
      <c r="EP73" s="39">
        <v>382.892</v>
      </c>
      <c r="EQ73" s="39">
        <v>412.99799999999999</v>
      </c>
      <c r="ER73" s="39">
        <v>462.23399999999998</v>
      </c>
      <c r="ES73" s="39">
        <v>792.25099999999998</v>
      </c>
      <c r="ET73" s="39">
        <v>695.78800000000001</v>
      </c>
      <c r="EU73" s="39">
        <v>620.12</v>
      </c>
      <c r="EV73" s="39">
        <v>597.36199999999997</v>
      </c>
      <c r="EW73" s="39">
        <v>968.10799999999995</v>
      </c>
      <c r="EX73" s="39">
        <v>836.07799999999997</v>
      </c>
      <c r="EY73" s="39">
        <v>723.44399999999996</v>
      </c>
      <c r="EZ73" s="39">
        <v>698.21199999999999</v>
      </c>
      <c r="FA73" s="39">
        <v>668.27499999999998</v>
      </c>
      <c r="FB73" s="39">
        <v>593.39</v>
      </c>
      <c r="FC73" s="39">
        <v>537.87900000000002</v>
      </c>
      <c r="FD73" s="39">
        <v>514.66700000000003</v>
      </c>
      <c r="FE73" s="44">
        <v>492</v>
      </c>
      <c r="FF73" s="44">
        <v>649</v>
      </c>
      <c r="FG73" s="44">
        <v>747</v>
      </c>
      <c r="FH73" s="44">
        <v>802</v>
      </c>
      <c r="FI73" s="39">
        <v>186.59100000000001</v>
      </c>
      <c r="FJ73" s="39">
        <v>186.828</v>
      </c>
      <c r="FK73" s="39">
        <v>166.614</v>
      </c>
      <c r="FL73" s="39">
        <v>136.45099999999999</v>
      </c>
      <c r="FM73" s="45">
        <v>426</v>
      </c>
      <c r="FN73" s="45">
        <v>453</v>
      </c>
      <c r="FO73" s="36">
        <v>472</v>
      </c>
      <c r="FP73" s="45">
        <v>569</v>
      </c>
      <c r="FQ73" s="39">
        <v>182.80699999999999</v>
      </c>
      <c r="FR73" s="39">
        <v>147.41999999999999</v>
      </c>
      <c r="FS73" s="39">
        <v>114.46599999999999</v>
      </c>
      <c r="FT73" s="39">
        <v>106.54900000000001</v>
      </c>
      <c r="FU73" s="43">
        <v>171</v>
      </c>
      <c r="FV73" s="43">
        <v>137</v>
      </c>
      <c r="FW73" s="43">
        <v>131</v>
      </c>
      <c r="FX73" s="45">
        <v>168</v>
      </c>
      <c r="FY73" s="39">
        <v>78.991</v>
      </c>
      <c r="FZ73" s="39">
        <v>46.930999999999997</v>
      </c>
      <c r="GA73" s="39">
        <v>33.03</v>
      </c>
      <c r="GB73" s="39">
        <v>32.968000000000004</v>
      </c>
      <c r="GC73" s="150">
        <v>122</v>
      </c>
      <c r="GD73" s="150">
        <v>135</v>
      </c>
      <c r="GE73" s="150">
        <v>195</v>
      </c>
      <c r="GF73" s="150">
        <v>226</v>
      </c>
      <c r="GG73" s="182">
        <v>40.128999999999998</v>
      </c>
      <c r="GH73" s="182">
        <v>31.038</v>
      </c>
      <c r="GI73" s="182">
        <v>39.106999999999999</v>
      </c>
      <c r="GJ73" s="182">
        <v>39.509</v>
      </c>
      <c r="GK73" s="182"/>
      <c r="GL73" s="114"/>
      <c r="GM73" s="114"/>
      <c r="GN73" s="114"/>
      <c r="GP73" s="114"/>
      <c r="GQ73" s="114"/>
      <c r="GR73" s="114"/>
      <c r="GS73" s="114"/>
      <c r="GU73" s="114"/>
      <c r="GV73" s="114"/>
      <c r="GW73" s="114"/>
      <c r="GX73" s="114"/>
      <c r="HE73" s="113"/>
      <c r="HF73" s="113"/>
      <c r="HG73" s="113"/>
      <c r="HH73" s="113"/>
      <c r="HI73" s="113"/>
      <c r="HJ73" s="115"/>
      <c r="HK73" s="115"/>
      <c r="HL73" s="114"/>
      <c r="HV73" s="116"/>
    </row>
    <row r="74" spans="1:230" x14ac:dyDescent="0.2">
      <c r="A74" s="128">
        <v>71</v>
      </c>
      <c r="B74" s="129" t="s">
        <v>117</v>
      </c>
      <c r="C74" s="117">
        <v>90158</v>
      </c>
      <c r="D74" s="117">
        <v>91126</v>
      </c>
      <c r="E74" s="117">
        <v>91705</v>
      </c>
      <c r="F74" s="117">
        <v>93528</v>
      </c>
      <c r="G74" s="151">
        <v>94570</v>
      </c>
      <c r="H74" s="155">
        <v>87436</v>
      </c>
      <c r="I74" s="155">
        <v>2832</v>
      </c>
      <c r="J74" s="155">
        <v>537</v>
      </c>
      <c r="K74" s="155">
        <v>1368</v>
      </c>
      <c r="L74" s="155">
        <v>2397</v>
      </c>
      <c r="M74" s="40">
        <v>30816</v>
      </c>
      <c r="N74" s="40">
        <v>31077</v>
      </c>
      <c r="O74" s="40">
        <v>31282</v>
      </c>
      <c r="P74" s="106">
        <v>31681</v>
      </c>
      <c r="Q74" s="106">
        <v>32132</v>
      </c>
      <c r="R74" s="51">
        <v>14.4</v>
      </c>
      <c r="S74" s="51">
        <v>15.2</v>
      </c>
      <c r="T74" s="51">
        <v>15.645365236844667</v>
      </c>
      <c r="U74" s="51">
        <v>16.106282039035882</v>
      </c>
      <c r="V74" s="51">
        <v>16.437708740311301</v>
      </c>
      <c r="W74" s="38">
        <v>34.1</v>
      </c>
      <c r="X74" s="38">
        <v>33.4</v>
      </c>
      <c r="Y74" s="38">
        <v>33.018837337483383</v>
      </c>
      <c r="Z74" s="38">
        <v>32.790460725316009</v>
      </c>
      <c r="AA74" s="38">
        <v>32.547734576847944</v>
      </c>
      <c r="AB74" s="51">
        <v>48.5</v>
      </c>
      <c r="AC74" s="51">
        <v>48.6</v>
      </c>
      <c r="AD74" s="51">
        <v>48.664202574328044</v>
      </c>
      <c r="AE74" s="51">
        <v>48.896742764351899</v>
      </c>
      <c r="AF74" s="51">
        <v>48.985443317159245</v>
      </c>
      <c r="AG74" s="39">
        <v>5.6</v>
      </c>
      <c r="AH74" s="39">
        <v>4.4423209856463224</v>
      </c>
      <c r="AI74" s="39">
        <v>3.9864240671566851</v>
      </c>
      <c r="AJ74" s="39">
        <v>4.1392229137712251</v>
      </c>
      <c r="AK74" s="39">
        <v>3.8890313924350348</v>
      </c>
      <c r="AL74" s="43">
        <v>2189.9166666666665</v>
      </c>
      <c r="AM74" s="43">
        <v>2053.5</v>
      </c>
      <c r="AN74" s="43">
        <v>1910.9166666666667</v>
      </c>
      <c r="AO74" s="43">
        <v>1809.6666666666667</v>
      </c>
      <c r="AP74" s="43">
        <v>1760.9166666666667</v>
      </c>
      <c r="AQ74" s="190">
        <v>40715.675729619441</v>
      </c>
      <c r="AR74" s="190">
        <v>41559.7760407518</v>
      </c>
      <c r="AS74" s="190">
        <v>43817.050303962977</v>
      </c>
      <c r="AT74" s="190">
        <v>44358.961808228552</v>
      </c>
      <c r="AU74" s="190">
        <v>46511.71</v>
      </c>
      <c r="AV74" s="162">
        <v>73358.25</v>
      </c>
      <c r="AW74" s="162">
        <v>77911.600000000006</v>
      </c>
      <c r="AX74" s="162">
        <v>79572.479999999996</v>
      </c>
      <c r="AY74" s="161">
        <v>81879.850000000006</v>
      </c>
      <c r="AZ74" s="161">
        <v>87094</v>
      </c>
      <c r="BA74" s="49">
        <v>6.5</v>
      </c>
      <c r="BB74" s="49">
        <v>7.2</v>
      </c>
      <c r="BC74" s="49">
        <v>7.5</v>
      </c>
      <c r="BD74" s="49">
        <v>6.3</v>
      </c>
      <c r="BE74" s="49">
        <v>4.3</v>
      </c>
      <c r="BF74" s="42">
        <v>7.7</v>
      </c>
      <c r="BG74" s="42">
        <v>8.6999999999999993</v>
      </c>
      <c r="BH74" s="42">
        <v>8.1</v>
      </c>
      <c r="BI74" s="42">
        <v>7.3</v>
      </c>
      <c r="BJ74" s="42">
        <v>5.4</v>
      </c>
      <c r="BK74" s="36">
        <v>19742</v>
      </c>
      <c r="BL74" s="36">
        <v>19809</v>
      </c>
      <c r="BM74" s="36">
        <v>19512</v>
      </c>
      <c r="BN74" s="36">
        <v>16009</v>
      </c>
      <c r="BO74" s="40">
        <v>20.342417181643196</v>
      </c>
      <c r="BP74" s="40">
        <v>20.02120248371952</v>
      </c>
      <c r="BQ74" s="40">
        <v>18.29130791307913</v>
      </c>
      <c r="BR74" s="40">
        <v>22.649759510275469</v>
      </c>
      <c r="BS74" s="51">
        <v>2.370580488299058</v>
      </c>
      <c r="BT74" s="51">
        <v>2.377707102832046</v>
      </c>
      <c r="BU74" s="51">
        <v>2.019270192701927</v>
      </c>
      <c r="BV74" s="51">
        <v>3.1045037166593792</v>
      </c>
      <c r="BW74" s="39">
        <v>13.706817951575321</v>
      </c>
      <c r="BX74" s="39">
        <v>13.78161441768893</v>
      </c>
      <c r="BY74" s="39">
        <v>12.833128331283312</v>
      </c>
      <c r="BZ74" s="39">
        <v>16.12218127303392</v>
      </c>
      <c r="CA74" s="40">
        <v>88.980716253443532</v>
      </c>
      <c r="CB74" s="40">
        <v>89.074074074074076</v>
      </c>
      <c r="CC74" s="40">
        <v>89.44</v>
      </c>
      <c r="CD74" s="40">
        <v>90.16</v>
      </c>
      <c r="CE74" s="40">
        <v>3.3976124885215793</v>
      </c>
      <c r="CF74" s="40">
        <v>3.4291010194624651</v>
      </c>
      <c r="CG74" s="40">
        <v>3.4</v>
      </c>
      <c r="CH74" s="36">
        <v>4.04</v>
      </c>
      <c r="CI74" s="105">
        <v>5478</v>
      </c>
      <c r="CJ74" s="105">
        <v>6534</v>
      </c>
      <c r="CK74" s="104">
        <v>6140</v>
      </c>
      <c r="CL74" s="104">
        <v>5938</v>
      </c>
      <c r="CM74" s="39">
        <v>16.718702789807633</v>
      </c>
      <c r="CN74" s="39">
        <v>19.692823301064507</v>
      </c>
      <c r="CO74" s="39">
        <v>13.867401443203505</v>
      </c>
      <c r="CP74" s="39">
        <v>12.878263754996345</v>
      </c>
      <c r="CQ74" s="104">
        <v>203</v>
      </c>
      <c r="CR74" s="104">
        <v>253</v>
      </c>
      <c r="CS74" s="104">
        <v>248</v>
      </c>
      <c r="CT74" s="104">
        <v>248</v>
      </c>
      <c r="CU74" s="39">
        <v>3.9</v>
      </c>
      <c r="CV74" s="39">
        <v>4</v>
      </c>
      <c r="CW74" s="39">
        <v>4.2</v>
      </c>
      <c r="CX74" s="39">
        <v>4.3</v>
      </c>
      <c r="CY74" s="36">
        <v>377</v>
      </c>
      <c r="CZ74" s="104">
        <v>443</v>
      </c>
      <c r="DA74" s="104">
        <v>397</v>
      </c>
      <c r="DB74" s="104">
        <v>380</v>
      </c>
      <c r="DC74" s="39">
        <v>7.8</v>
      </c>
      <c r="DD74" s="39">
        <v>8.1</v>
      </c>
      <c r="DE74" s="39">
        <v>7.3</v>
      </c>
      <c r="DF74" s="39">
        <v>6.6</v>
      </c>
      <c r="DG74" s="39">
        <v>91.2</v>
      </c>
      <c r="DH74" s="39">
        <v>90.1</v>
      </c>
      <c r="DI74" s="39">
        <v>89.3</v>
      </c>
      <c r="DJ74" s="39">
        <v>87.6</v>
      </c>
      <c r="DK74" s="39">
        <v>11</v>
      </c>
      <c r="DL74" s="39">
        <v>9.8000000000000007</v>
      </c>
      <c r="DM74" s="39">
        <v>10.4</v>
      </c>
      <c r="DN74" s="39">
        <v>11</v>
      </c>
      <c r="DO74" s="39">
        <v>17.3</v>
      </c>
      <c r="DP74" s="39">
        <v>20.3</v>
      </c>
      <c r="DQ74" s="39">
        <v>24.4</v>
      </c>
      <c r="DR74" s="39">
        <v>26.6</v>
      </c>
      <c r="DS74" s="39">
        <v>24.5</v>
      </c>
      <c r="DT74" s="39">
        <v>20.100000000000001</v>
      </c>
      <c r="DU74" s="39">
        <v>17.2</v>
      </c>
      <c r="DV74" s="39">
        <v>11.1</v>
      </c>
      <c r="DW74" s="45">
        <v>1080</v>
      </c>
      <c r="DX74" s="45">
        <v>82</v>
      </c>
      <c r="DY74" s="15">
        <v>3</v>
      </c>
      <c r="DZ74" s="45">
        <v>18</v>
      </c>
      <c r="EA74" s="45">
        <v>28</v>
      </c>
      <c r="EB74" s="45">
        <v>20</v>
      </c>
      <c r="EC74" s="45">
        <v>29</v>
      </c>
      <c r="ED74" s="45">
        <v>33</v>
      </c>
      <c r="EE74" s="45">
        <v>24</v>
      </c>
      <c r="EF74" s="104">
        <v>1759</v>
      </c>
      <c r="EG74" s="104">
        <v>2050</v>
      </c>
      <c r="EH74" s="104">
        <v>2243</v>
      </c>
      <c r="EI74" s="104">
        <v>2576</v>
      </c>
      <c r="EJ74" s="174">
        <v>552</v>
      </c>
      <c r="EK74" s="174">
        <v>7</v>
      </c>
      <c r="EL74" s="174">
        <v>2</v>
      </c>
      <c r="EM74" s="174">
        <v>2</v>
      </c>
      <c r="EN74" s="174">
        <v>4</v>
      </c>
      <c r="EO74" s="39">
        <v>546.12900000000002</v>
      </c>
      <c r="EP74" s="39">
        <v>501.517</v>
      </c>
      <c r="EQ74" s="39">
        <v>506.89800000000002</v>
      </c>
      <c r="ER74" s="39">
        <v>561.80100000000004</v>
      </c>
      <c r="ES74" s="39">
        <v>827.34500000000003</v>
      </c>
      <c r="ET74" s="39">
        <v>807.68299999999999</v>
      </c>
      <c r="EU74" s="39">
        <v>700.01800000000003</v>
      </c>
      <c r="EV74" s="39">
        <v>673.654</v>
      </c>
      <c r="EW74" s="39">
        <v>1008.193</v>
      </c>
      <c r="EX74" s="39">
        <v>877.29100000000005</v>
      </c>
      <c r="EY74" s="39">
        <v>799.58100000000002</v>
      </c>
      <c r="EZ74" s="39">
        <v>770.52599999999995</v>
      </c>
      <c r="FA74" s="39">
        <v>729.27099999999996</v>
      </c>
      <c r="FB74" s="39">
        <v>735.23699999999997</v>
      </c>
      <c r="FC74" s="39">
        <v>626.03200000000004</v>
      </c>
      <c r="FD74" s="39">
        <v>592.43200000000002</v>
      </c>
      <c r="FE74" s="44">
        <v>421</v>
      </c>
      <c r="FF74" s="44">
        <v>432</v>
      </c>
      <c r="FG74" s="44">
        <v>580</v>
      </c>
      <c r="FH74" s="44">
        <v>628</v>
      </c>
      <c r="FI74" s="39">
        <v>197.65899999999999</v>
      </c>
      <c r="FJ74" s="39">
        <v>163.37799999999999</v>
      </c>
      <c r="FK74" s="39">
        <v>175.83799999999999</v>
      </c>
      <c r="FL74" s="39">
        <v>157.75399999999999</v>
      </c>
      <c r="FM74" s="45">
        <v>388</v>
      </c>
      <c r="FN74" s="45">
        <v>426</v>
      </c>
      <c r="FO74" s="36">
        <v>376</v>
      </c>
      <c r="FP74" s="45">
        <v>403</v>
      </c>
      <c r="FQ74" s="39">
        <v>188.173</v>
      </c>
      <c r="FR74" s="39">
        <v>177.369</v>
      </c>
      <c r="FS74" s="39">
        <v>118.631</v>
      </c>
      <c r="FT74" s="39">
        <v>106.489</v>
      </c>
      <c r="FU74" s="43">
        <v>116</v>
      </c>
      <c r="FV74" s="43">
        <v>137</v>
      </c>
      <c r="FW74" s="43">
        <v>104</v>
      </c>
      <c r="FX74" s="45">
        <v>119</v>
      </c>
      <c r="FY74" s="39">
        <v>57.35</v>
      </c>
      <c r="FZ74" s="39">
        <v>59.44</v>
      </c>
      <c r="GA74" s="39">
        <v>34.079000000000001</v>
      </c>
      <c r="GB74" s="39">
        <v>33.527000000000001</v>
      </c>
      <c r="GC74" s="150">
        <v>97</v>
      </c>
      <c r="GD74" s="150">
        <v>144</v>
      </c>
      <c r="GE74" s="150">
        <v>133</v>
      </c>
      <c r="GF74" s="150">
        <v>175</v>
      </c>
      <c r="GG74" s="182">
        <v>36.055</v>
      </c>
      <c r="GH74" s="182">
        <v>43.262999999999998</v>
      </c>
      <c r="GI74" s="182">
        <v>35.491999999999997</v>
      </c>
      <c r="GJ74" s="182">
        <v>41.615000000000002</v>
      </c>
      <c r="GK74" s="182"/>
      <c r="GL74" s="114"/>
      <c r="GM74" s="114"/>
      <c r="GN74" s="114"/>
      <c r="GP74" s="114"/>
      <c r="GQ74" s="114"/>
      <c r="GR74" s="114"/>
      <c r="GS74" s="114"/>
      <c r="GU74" s="114"/>
      <c r="GV74" s="114"/>
      <c r="GW74" s="114"/>
      <c r="GX74" s="114"/>
      <c r="HE74" s="113"/>
      <c r="HF74" s="113"/>
      <c r="HG74" s="113"/>
      <c r="HH74" s="113"/>
      <c r="HI74" s="113"/>
      <c r="HJ74" s="115"/>
      <c r="HK74" s="115"/>
      <c r="HL74" s="114"/>
      <c r="HV74" s="116"/>
    </row>
    <row r="75" spans="1:230" ht="21" customHeight="1" x14ac:dyDescent="0.2">
      <c r="A75" s="128">
        <v>72</v>
      </c>
      <c r="B75" s="129" t="s">
        <v>118</v>
      </c>
      <c r="C75" s="117">
        <v>15072</v>
      </c>
      <c r="D75" s="117">
        <v>14918</v>
      </c>
      <c r="E75" s="117">
        <v>14875</v>
      </c>
      <c r="F75" s="117">
        <v>14827</v>
      </c>
      <c r="G75" s="151">
        <v>14869</v>
      </c>
      <c r="H75" s="155">
        <v>13211</v>
      </c>
      <c r="I75" s="155">
        <v>164</v>
      </c>
      <c r="J75" s="155">
        <v>41</v>
      </c>
      <c r="K75" s="155">
        <v>88</v>
      </c>
      <c r="L75" s="155">
        <v>1365</v>
      </c>
      <c r="M75" s="40">
        <v>6001</v>
      </c>
      <c r="N75" s="40">
        <v>5972</v>
      </c>
      <c r="O75" s="40">
        <v>5956</v>
      </c>
      <c r="P75" s="106">
        <v>5934</v>
      </c>
      <c r="Q75" s="106">
        <v>5947</v>
      </c>
      <c r="R75" s="51">
        <v>27.4</v>
      </c>
      <c r="S75" s="51">
        <v>28.1</v>
      </c>
      <c r="T75" s="51">
        <v>28.615980212926122</v>
      </c>
      <c r="U75" s="51">
        <v>29.074794638996977</v>
      </c>
      <c r="V75" s="51">
        <v>28.832037996545768</v>
      </c>
      <c r="W75" s="38">
        <v>33</v>
      </c>
      <c r="X75" s="38">
        <v>32.700000000000003</v>
      </c>
      <c r="Y75" s="38">
        <v>31.347456715775891</v>
      </c>
      <c r="Z75" s="38">
        <v>31.182447038478166</v>
      </c>
      <c r="AA75" s="38">
        <v>31.67098445595855</v>
      </c>
      <c r="AB75" s="51">
        <v>60.4</v>
      </c>
      <c r="AC75" s="51">
        <v>60.9</v>
      </c>
      <c r="AD75" s="51">
        <v>59.963436928702009</v>
      </c>
      <c r="AE75" s="51">
        <v>60.257241677475136</v>
      </c>
      <c r="AF75" s="51">
        <v>60.503022452504318</v>
      </c>
      <c r="AG75" s="39">
        <v>4.8</v>
      </c>
      <c r="AH75" s="39">
        <v>4.4629080118694366</v>
      </c>
      <c r="AI75" s="39">
        <v>4.1005444225645773</v>
      </c>
      <c r="AJ75" s="39">
        <v>4.2848734549735141</v>
      </c>
      <c r="AK75" s="39">
        <v>3.6915504511894994</v>
      </c>
      <c r="AL75" s="43">
        <v>451.75</v>
      </c>
      <c r="AM75" s="43">
        <v>411.5</v>
      </c>
      <c r="AN75" s="43">
        <v>412.08333333333331</v>
      </c>
      <c r="AO75" s="43">
        <v>403.41666666666669</v>
      </c>
      <c r="AP75" s="43">
        <v>394.08333333333331</v>
      </c>
      <c r="AQ75" s="190">
        <v>45212.970711297079</v>
      </c>
      <c r="AR75" s="190">
        <v>44979.721030042921</v>
      </c>
      <c r="AS75" s="190">
        <v>45892.892384217244</v>
      </c>
      <c r="AT75" s="190">
        <v>44487.705537195659</v>
      </c>
      <c r="AU75" s="190">
        <v>46831.01</v>
      </c>
      <c r="AV75" s="162">
        <v>56418.600000000006</v>
      </c>
      <c r="AW75" s="162">
        <v>58247.28</v>
      </c>
      <c r="AX75" s="162">
        <v>62288.72</v>
      </c>
      <c r="AY75" s="161">
        <v>58763.560000000005</v>
      </c>
      <c r="AZ75" s="161">
        <v>59378</v>
      </c>
      <c r="BA75" s="49">
        <v>9.8000000000000007</v>
      </c>
      <c r="BB75" s="49">
        <v>9.1999999999999993</v>
      </c>
      <c r="BC75" s="49">
        <v>8.9</v>
      </c>
      <c r="BD75" s="49">
        <v>9.1</v>
      </c>
      <c r="BE75" s="49">
        <v>7.7</v>
      </c>
      <c r="BF75" s="42">
        <v>13.7</v>
      </c>
      <c r="BG75" s="42">
        <v>13.5</v>
      </c>
      <c r="BH75" s="42">
        <v>12.3</v>
      </c>
      <c r="BI75" s="42">
        <v>12.2</v>
      </c>
      <c r="BJ75" s="42">
        <v>10.7</v>
      </c>
      <c r="BK75" s="36">
        <v>2286</v>
      </c>
      <c r="BL75" s="36">
        <v>2218</v>
      </c>
      <c r="BM75" s="36">
        <v>2174</v>
      </c>
      <c r="BN75" s="36">
        <v>2125</v>
      </c>
      <c r="BO75" s="40">
        <v>42.388451443569551</v>
      </c>
      <c r="BP75" s="40">
        <v>39.81064021641118</v>
      </c>
      <c r="BQ75" s="40">
        <v>39.788408463661455</v>
      </c>
      <c r="BR75" s="40">
        <v>39.10588235294118</v>
      </c>
      <c r="BS75" s="51">
        <v>10.717410323709537</v>
      </c>
      <c r="BT75" s="51">
        <v>8.7917042380522989</v>
      </c>
      <c r="BU75" s="51">
        <v>10.855565777368906</v>
      </c>
      <c r="BV75" s="51">
        <v>10.117647058823529</v>
      </c>
      <c r="BW75" s="39">
        <v>16.316710411198599</v>
      </c>
      <c r="BX75" s="39">
        <v>16.05049594229035</v>
      </c>
      <c r="BY75" s="39">
        <v>15.45538178472861</v>
      </c>
      <c r="BZ75" s="39">
        <v>16.8</v>
      </c>
      <c r="CA75" s="40">
        <v>83.333333333333343</v>
      </c>
      <c r="CB75" s="40">
        <v>82.383419689119179</v>
      </c>
      <c r="CC75" s="40">
        <v>86.67</v>
      </c>
      <c r="CD75" s="40">
        <v>88.59</v>
      </c>
      <c r="CE75" s="40">
        <v>5.5555555555555554</v>
      </c>
      <c r="CF75" s="40">
        <v>6.1855670103092786</v>
      </c>
      <c r="CG75" s="40">
        <v>4.8499999999999996</v>
      </c>
      <c r="CH75" s="36">
        <v>4.3499999999999996</v>
      </c>
      <c r="CI75" s="105">
        <v>955</v>
      </c>
      <c r="CJ75" s="105">
        <v>1021</v>
      </c>
      <c r="CK75" s="104">
        <v>949</v>
      </c>
      <c r="CL75" s="104">
        <v>801</v>
      </c>
      <c r="CM75" s="39">
        <v>12.649341704416011</v>
      </c>
      <c r="CN75" s="39">
        <v>16.848184818481847</v>
      </c>
      <c r="CO75" s="39">
        <v>12.586707693940076</v>
      </c>
      <c r="CP75" s="39">
        <v>10.742881667359612</v>
      </c>
      <c r="CQ75" s="104">
        <v>45</v>
      </c>
      <c r="CR75" s="104">
        <v>41</v>
      </c>
      <c r="CS75" s="104">
        <v>31</v>
      </c>
      <c r="CT75" s="104">
        <v>35</v>
      </c>
      <c r="CU75" s="39">
        <v>4.9000000000000004</v>
      </c>
      <c r="CV75" s="39">
        <v>4.2</v>
      </c>
      <c r="CW75" s="39">
        <v>3.4</v>
      </c>
      <c r="CX75" s="39">
        <v>4.5</v>
      </c>
      <c r="CY75" s="36">
        <v>75</v>
      </c>
      <c r="CZ75" s="104">
        <v>78</v>
      </c>
      <c r="DA75" s="104">
        <v>48</v>
      </c>
      <c r="DB75" s="104">
        <v>56</v>
      </c>
      <c r="DC75" s="39">
        <v>8.6999999999999993</v>
      </c>
      <c r="DD75" s="39">
        <v>8.9</v>
      </c>
      <c r="DE75" s="39">
        <v>5.6</v>
      </c>
      <c r="DF75" s="39">
        <v>7.2</v>
      </c>
      <c r="DG75" s="39">
        <v>84.5</v>
      </c>
      <c r="DH75" s="39">
        <v>85.5</v>
      </c>
      <c r="DI75" s="39">
        <v>84.9</v>
      </c>
      <c r="DJ75" s="39">
        <v>83.2</v>
      </c>
      <c r="DK75" s="39">
        <v>8.9</v>
      </c>
      <c r="DL75" s="39">
        <v>10.1</v>
      </c>
      <c r="DM75" s="39">
        <v>10.6</v>
      </c>
      <c r="DN75" s="39">
        <v>12.4</v>
      </c>
      <c r="DO75" s="39">
        <v>24.8</v>
      </c>
      <c r="DP75" s="39">
        <v>27.1</v>
      </c>
      <c r="DQ75" s="39">
        <v>33.200000000000003</v>
      </c>
      <c r="DR75" s="39">
        <v>30.7</v>
      </c>
      <c r="DS75" s="39">
        <v>30.6</v>
      </c>
      <c r="DT75" s="39">
        <v>35.4</v>
      </c>
      <c r="DU75" s="39">
        <v>24.6</v>
      </c>
      <c r="DV75" s="39">
        <v>13.1</v>
      </c>
      <c r="DW75" s="45">
        <v>121</v>
      </c>
      <c r="DX75" s="45">
        <v>2</v>
      </c>
      <c r="DY75" s="15">
        <v>0</v>
      </c>
      <c r="DZ75" s="45">
        <v>1</v>
      </c>
      <c r="EA75" s="45">
        <v>31</v>
      </c>
      <c r="EB75" s="45">
        <v>3</v>
      </c>
      <c r="EC75" s="45">
        <v>1</v>
      </c>
      <c r="ED75" s="45">
        <v>3</v>
      </c>
      <c r="EE75" s="45">
        <v>3</v>
      </c>
      <c r="EF75" s="104">
        <v>772</v>
      </c>
      <c r="EG75" s="104">
        <v>676</v>
      </c>
      <c r="EH75" s="104">
        <v>700</v>
      </c>
      <c r="EI75" s="104">
        <v>734</v>
      </c>
      <c r="EJ75" s="174">
        <v>122</v>
      </c>
      <c r="EK75" s="174"/>
      <c r="EL75" s="174"/>
      <c r="EM75" s="174"/>
      <c r="EN75" s="174">
        <v>3</v>
      </c>
      <c r="EO75" s="39">
        <v>1005.47</v>
      </c>
      <c r="EP75" s="39">
        <v>887.31399999999996</v>
      </c>
      <c r="EQ75" s="39">
        <v>919.48</v>
      </c>
      <c r="ER75" s="39">
        <v>986.89099999999996</v>
      </c>
      <c r="ES75" s="39">
        <v>767.00900000000001</v>
      </c>
      <c r="ET75" s="39">
        <v>622.27300000000002</v>
      </c>
      <c r="EU75" s="39">
        <v>665.84699999999998</v>
      </c>
      <c r="EV75" s="39">
        <v>665.33100000000002</v>
      </c>
      <c r="EW75" s="39">
        <v>968.02</v>
      </c>
      <c r="EX75" s="39">
        <v>789.68200000000002</v>
      </c>
      <c r="EY75" s="39">
        <v>872.42899999999997</v>
      </c>
      <c r="EZ75" s="39">
        <v>785.76199999999994</v>
      </c>
      <c r="FA75" s="39">
        <v>611.33100000000002</v>
      </c>
      <c r="FB75" s="39">
        <v>502.56200000000001</v>
      </c>
      <c r="FC75" s="39">
        <v>521.97299999999996</v>
      </c>
      <c r="FD75" s="39">
        <v>584.375</v>
      </c>
      <c r="FE75" s="44">
        <v>176</v>
      </c>
      <c r="FF75" s="44">
        <v>155</v>
      </c>
      <c r="FG75" s="44">
        <v>184</v>
      </c>
      <c r="FH75" s="44">
        <v>166</v>
      </c>
      <c r="FI75" s="39">
        <v>184.79499999999999</v>
      </c>
      <c r="FJ75" s="39">
        <v>158.90700000000001</v>
      </c>
      <c r="FK75" s="39">
        <v>181.29300000000001</v>
      </c>
      <c r="FL75" s="39">
        <v>157.739</v>
      </c>
      <c r="FM75" s="45">
        <v>233</v>
      </c>
      <c r="FN75" s="45">
        <v>187</v>
      </c>
      <c r="FO75" s="36">
        <v>158</v>
      </c>
      <c r="FP75" s="45">
        <v>166</v>
      </c>
      <c r="FQ75" s="39">
        <v>219.35499999999999</v>
      </c>
      <c r="FR75" s="39">
        <v>156.22499999999999</v>
      </c>
      <c r="FS75" s="39">
        <v>142.31200000000001</v>
      </c>
      <c r="FT75" s="39">
        <v>138.56100000000001</v>
      </c>
      <c r="FU75" s="43">
        <v>57</v>
      </c>
      <c r="FV75" s="43">
        <v>54</v>
      </c>
      <c r="FW75" s="43">
        <v>40</v>
      </c>
      <c r="FX75" s="45">
        <v>33</v>
      </c>
      <c r="FY75" s="39">
        <v>54.241999999999997</v>
      </c>
      <c r="FZ75" s="39">
        <v>45.369</v>
      </c>
      <c r="GA75" s="39">
        <v>35.811999999999998</v>
      </c>
      <c r="GB75" s="39">
        <v>28.754000000000001</v>
      </c>
      <c r="GC75" s="150">
        <v>42</v>
      </c>
      <c r="GD75" s="150">
        <v>21</v>
      </c>
      <c r="GE75" s="150">
        <v>49</v>
      </c>
      <c r="GF75" s="150">
        <v>46</v>
      </c>
      <c r="GG75" s="182">
        <v>46.485999999999997</v>
      </c>
      <c r="GH75" s="182">
        <v>22.73</v>
      </c>
      <c r="GI75" s="182">
        <v>51.405999999999999</v>
      </c>
      <c r="GJ75" s="182">
        <v>51.948999999999998</v>
      </c>
      <c r="GK75" s="182"/>
      <c r="GL75" s="114"/>
      <c r="GM75" s="114"/>
      <c r="GN75" s="114"/>
      <c r="GP75" s="114"/>
      <c r="GQ75" s="114"/>
      <c r="GR75" s="114"/>
      <c r="GS75" s="114"/>
      <c r="GU75" s="114"/>
      <c r="GV75" s="114"/>
      <c r="GW75" s="114"/>
      <c r="GX75" s="114"/>
      <c r="HE75" s="113"/>
      <c r="HF75" s="113"/>
      <c r="HG75" s="113"/>
      <c r="HH75" s="113"/>
      <c r="HI75" s="113"/>
      <c r="HJ75" s="115"/>
      <c r="HK75" s="115"/>
      <c r="HL75" s="114"/>
      <c r="HV75" s="116"/>
    </row>
    <row r="76" spans="1:230" x14ac:dyDescent="0.2">
      <c r="A76" s="128">
        <v>73</v>
      </c>
      <c r="B76" s="129" t="s">
        <v>119</v>
      </c>
      <c r="C76" s="117">
        <v>152092</v>
      </c>
      <c r="D76" s="117">
        <v>152912</v>
      </c>
      <c r="E76" s="117">
        <v>154708</v>
      </c>
      <c r="F76" s="117">
        <v>155652</v>
      </c>
      <c r="G76" s="151">
        <v>157822</v>
      </c>
      <c r="H76" s="155">
        <v>137759</v>
      </c>
      <c r="I76" s="155">
        <v>10307</v>
      </c>
      <c r="J76" s="155">
        <v>452</v>
      </c>
      <c r="K76" s="155">
        <v>3918</v>
      </c>
      <c r="L76" s="155">
        <v>5386</v>
      </c>
      <c r="M76" s="40">
        <v>57057</v>
      </c>
      <c r="N76" s="40">
        <v>57603</v>
      </c>
      <c r="O76" s="40">
        <v>57928</v>
      </c>
      <c r="P76" s="106">
        <v>58469</v>
      </c>
      <c r="Q76" s="106">
        <v>59202</v>
      </c>
      <c r="R76" s="51">
        <v>19.399999999999999</v>
      </c>
      <c r="S76" s="51">
        <v>19.899999999999999</v>
      </c>
      <c r="T76" s="51">
        <v>20.434669917731423</v>
      </c>
      <c r="U76" s="51">
        <v>21.203741045879664</v>
      </c>
      <c r="V76" s="51">
        <v>22.153024911032031</v>
      </c>
      <c r="W76" s="38">
        <v>28</v>
      </c>
      <c r="X76" s="38">
        <v>27.8</v>
      </c>
      <c r="Y76" s="38">
        <v>28.078831920592101</v>
      </c>
      <c r="Z76" s="38">
        <v>28.257571392905838</v>
      </c>
      <c r="AA76" s="38">
        <v>28.826579420655875</v>
      </c>
      <c r="AB76" s="51">
        <v>47.4</v>
      </c>
      <c r="AC76" s="51">
        <v>47.8</v>
      </c>
      <c r="AD76" s="51">
        <v>48.513501838323528</v>
      </c>
      <c r="AE76" s="51">
        <v>49.461312438785505</v>
      </c>
      <c r="AF76" s="51">
        <v>50.979604331687902</v>
      </c>
      <c r="AG76" s="39">
        <v>5</v>
      </c>
      <c r="AH76" s="39">
        <v>4.0060736140286783</v>
      </c>
      <c r="AI76" s="39">
        <v>3.5970006201725204</v>
      </c>
      <c r="AJ76" s="39">
        <v>3.8135689463283891</v>
      </c>
      <c r="AK76" s="39">
        <v>3.5293853595035292</v>
      </c>
      <c r="AL76" s="43">
        <v>6210.583333333333</v>
      </c>
      <c r="AM76" s="43">
        <v>5709.166666666667</v>
      </c>
      <c r="AN76" s="43">
        <v>5533.833333333333</v>
      </c>
      <c r="AO76" s="43">
        <v>5557.166666666667</v>
      </c>
      <c r="AP76" s="43">
        <v>5563.833333333333</v>
      </c>
      <c r="AQ76" s="190">
        <v>41286.041063800476</v>
      </c>
      <c r="AR76" s="190">
        <v>42854.457438837671</v>
      </c>
      <c r="AS76" s="190">
        <v>43968.784114302674</v>
      </c>
      <c r="AT76" s="190">
        <v>43848.941998817878</v>
      </c>
      <c r="AU76" s="190">
        <v>45674.32</v>
      </c>
      <c r="AV76" s="162">
        <v>56685.3</v>
      </c>
      <c r="AW76" s="162">
        <v>58973.200000000004</v>
      </c>
      <c r="AX76" s="162">
        <v>58065.279999999999</v>
      </c>
      <c r="AY76" s="161">
        <v>56901.32</v>
      </c>
      <c r="AZ76" s="161">
        <v>63017</v>
      </c>
      <c r="BA76" s="49">
        <v>12.7</v>
      </c>
      <c r="BB76" s="49">
        <v>13.4</v>
      </c>
      <c r="BC76" s="49">
        <v>13.5</v>
      </c>
      <c r="BD76" s="49">
        <v>11.7</v>
      </c>
      <c r="BE76" s="49">
        <v>11</v>
      </c>
      <c r="BF76" s="42">
        <v>12.6</v>
      </c>
      <c r="BG76" s="42">
        <v>13.5</v>
      </c>
      <c r="BH76" s="42">
        <v>14.3</v>
      </c>
      <c r="BI76" s="42">
        <v>12.6</v>
      </c>
      <c r="BJ76" s="42">
        <v>12.3</v>
      </c>
      <c r="BK76" s="36">
        <v>24419</v>
      </c>
      <c r="BL76" s="36">
        <v>24674</v>
      </c>
      <c r="BM76" s="36">
        <v>24408</v>
      </c>
      <c r="BN76" s="36">
        <v>24100</v>
      </c>
      <c r="BO76" s="40">
        <v>39.821450509848887</v>
      </c>
      <c r="BP76" s="40">
        <v>40.824349517710949</v>
      </c>
      <c r="BQ76" s="40">
        <v>41.097181252048507</v>
      </c>
      <c r="BR76" s="40">
        <v>39.680497925311201</v>
      </c>
      <c r="BS76" s="51">
        <v>9.5581309635939231</v>
      </c>
      <c r="BT76" s="51">
        <v>10.784631596011996</v>
      </c>
      <c r="BU76" s="51">
        <v>12.524582104228122</v>
      </c>
      <c r="BV76" s="51">
        <v>12.240663900414937</v>
      </c>
      <c r="BW76" s="39">
        <v>16.872107784921578</v>
      </c>
      <c r="BX76" s="39">
        <v>16.823376833914242</v>
      </c>
      <c r="BY76" s="39">
        <v>15.285971812520485</v>
      </c>
      <c r="BZ76" s="39">
        <v>17.078838174273859</v>
      </c>
      <c r="CA76" s="40">
        <v>84.173441734417338</v>
      </c>
      <c r="CB76" s="40">
        <v>83.658008658008654</v>
      </c>
      <c r="CC76" s="40">
        <v>86.04</v>
      </c>
      <c r="CD76" s="40">
        <v>82.74</v>
      </c>
      <c r="CE76" s="40">
        <v>3.1978319783197833</v>
      </c>
      <c r="CF76" s="40">
        <v>4.3219881145326848</v>
      </c>
      <c r="CG76" s="40">
        <v>3.31</v>
      </c>
      <c r="CH76" s="36">
        <v>4</v>
      </c>
      <c r="CI76" s="105">
        <v>8641</v>
      </c>
      <c r="CJ76" s="105">
        <v>9552</v>
      </c>
      <c r="CK76" s="104">
        <v>9667</v>
      </c>
      <c r="CL76" s="104">
        <v>10018</v>
      </c>
      <c r="CM76" s="39">
        <v>13.052534904692781</v>
      </c>
      <c r="CN76" s="39">
        <v>16.645290804661794</v>
      </c>
      <c r="CO76" s="39">
        <v>12.895832833081206</v>
      </c>
      <c r="CP76" s="39">
        <v>12.956778834588313</v>
      </c>
      <c r="CQ76" s="104">
        <v>387</v>
      </c>
      <c r="CR76" s="104">
        <v>489</v>
      </c>
      <c r="CS76" s="104">
        <v>436</v>
      </c>
      <c r="CT76" s="104">
        <v>451</v>
      </c>
      <c r="CU76" s="39">
        <v>4.5999999999999996</v>
      </c>
      <c r="CV76" s="39">
        <v>5.3</v>
      </c>
      <c r="CW76" s="39">
        <v>4.7</v>
      </c>
      <c r="CX76" s="39">
        <v>4.5999999999999996</v>
      </c>
      <c r="CY76" s="36">
        <v>636</v>
      </c>
      <c r="CZ76" s="104">
        <v>880</v>
      </c>
      <c r="DA76" s="104">
        <v>777</v>
      </c>
      <c r="DB76" s="104">
        <v>665</v>
      </c>
      <c r="DC76" s="39">
        <v>7.7</v>
      </c>
      <c r="DD76" s="39">
        <v>9.6999999999999993</v>
      </c>
      <c r="DE76" s="39">
        <v>8.4</v>
      </c>
      <c r="DF76" s="39">
        <v>6.9</v>
      </c>
      <c r="DG76" s="39">
        <v>89.2</v>
      </c>
      <c r="DH76" s="39">
        <v>88.6</v>
      </c>
      <c r="DI76" s="39">
        <v>88.4</v>
      </c>
      <c r="DJ76" s="39">
        <v>84.3</v>
      </c>
      <c r="DK76" s="39">
        <v>13.2</v>
      </c>
      <c r="DL76" s="39">
        <v>12.7</v>
      </c>
      <c r="DM76" s="39">
        <v>12.1</v>
      </c>
      <c r="DN76" s="39">
        <v>10.9</v>
      </c>
      <c r="DO76" s="39">
        <v>23.1</v>
      </c>
      <c r="DP76" s="39">
        <v>26.5</v>
      </c>
      <c r="DQ76" s="39">
        <v>29.5</v>
      </c>
      <c r="DR76" s="39">
        <v>26.5</v>
      </c>
      <c r="DS76" s="39">
        <v>17.7</v>
      </c>
      <c r="DT76" s="39">
        <v>18.100000000000001</v>
      </c>
      <c r="DU76" s="39">
        <v>15.8</v>
      </c>
      <c r="DV76" s="39">
        <v>10.6</v>
      </c>
      <c r="DW76" s="45">
        <v>1463</v>
      </c>
      <c r="DX76" s="45">
        <v>430</v>
      </c>
      <c r="DY76" s="15">
        <v>5</v>
      </c>
      <c r="DZ76" s="45">
        <v>35</v>
      </c>
      <c r="EA76" s="45">
        <v>122</v>
      </c>
      <c r="EB76" s="45">
        <v>46</v>
      </c>
      <c r="EC76" s="45">
        <v>54</v>
      </c>
      <c r="ED76" s="45">
        <v>44</v>
      </c>
      <c r="EE76" s="45">
        <v>47</v>
      </c>
      <c r="EF76" s="104">
        <v>3869</v>
      </c>
      <c r="EG76" s="104">
        <v>3886</v>
      </c>
      <c r="EH76" s="104">
        <v>4500</v>
      </c>
      <c r="EI76" s="104">
        <v>5002</v>
      </c>
      <c r="EJ76" s="174">
        <v>1011</v>
      </c>
      <c r="EK76" s="174">
        <v>20</v>
      </c>
      <c r="EL76" s="174">
        <v>4</v>
      </c>
      <c r="EM76" s="174">
        <v>5</v>
      </c>
      <c r="EN76" s="174">
        <v>3</v>
      </c>
      <c r="EO76" s="39">
        <v>581.07899999999995</v>
      </c>
      <c r="EP76" s="39">
        <v>544.81500000000005</v>
      </c>
      <c r="EQ76" s="39">
        <v>597.44299999999998</v>
      </c>
      <c r="ER76" s="39">
        <v>646.63800000000003</v>
      </c>
      <c r="ES76" s="39">
        <v>670.29399999999998</v>
      </c>
      <c r="ET76" s="39">
        <v>551.52099999999996</v>
      </c>
      <c r="EU76" s="39">
        <v>586.92700000000002</v>
      </c>
      <c r="EV76" s="39">
        <v>585.601</v>
      </c>
      <c r="EW76" s="39">
        <v>893.81200000000001</v>
      </c>
      <c r="EX76" s="39">
        <v>705.42899999999997</v>
      </c>
      <c r="EY76" s="39">
        <v>723.23099999999999</v>
      </c>
      <c r="EZ76" s="39">
        <v>713.41300000000001</v>
      </c>
      <c r="FA76" s="39">
        <v>504.50599999999997</v>
      </c>
      <c r="FB76" s="39">
        <v>434.17700000000002</v>
      </c>
      <c r="FC76" s="39">
        <v>474.35</v>
      </c>
      <c r="FD76" s="39">
        <v>474.22199999999998</v>
      </c>
      <c r="FE76" s="44">
        <v>1013</v>
      </c>
      <c r="FF76" s="44">
        <v>1009</v>
      </c>
      <c r="FG76" s="44">
        <v>1185</v>
      </c>
      <c r="FH76" s="44">
        <v>1246</v>
      </c>
      <c r="FI76" s="39">
        <v>176.12200000000001</v>
      </c>
      <c r="FJ76" s="39">
        <v>149.54499999999999</v>
      </c>
      <c r="FK76" s="39">
        <v>156.81</v>
      </c>
      <c r="FL76" s="39">
        <v>147.00800000000001</v>
      </c>
      <c r="FM76" s="45">
        <v>1042</v>
      </c>
      <c r="FN76" s="45">
        <v>910</v>
      </c>
      <c r="FO76" s="36">
        <v>881</v>
      </c>
      <c r="FP76" s="45">
        <v>968</v>
      </c>
      <c r="FQ76" s="39">
        <v>182.57599999999999</v>
      </c>
      <c r="FR76" s="39">
        <v>127.105</v>
      </c>
      <c r="FS76" s="39">
        <v>113.014</v>
      </c>
      <c r="FT76" s="39">
        <v>111.557</v>
      </c>
      <c r="FU76" s="43">
        <v>253</v>
      </c>
      <c r="FV76" s="43">
        <v>233</v>
      </c>
      <c r="FW76" s="43">
        <v>241</v>
      </c>
      <c r="FX76" s="45">
        <v>248</v>
      </c>
      <c r="FY76" s="39">
        <v>44.402000000000001</v>
      </c>
      <c r="FZ76" s="39">
        <v>31.846</v>
      </c>
      <c r="GA76" s="39">
        <v>31.396000000000001</v>
      </c>
      <c r="GB76" s="39">
        <v>28.138000000000002</v>
      </c>
      <c r="GC76" s="150">
        <v>195</v>
      </c>
      <c r="GD76" s="150">
        <v>242</v>
      </c>
      <c r="GE76" s="150">
        <v>238</v>
      </c>
      <c r="GF76" s="150">
        <v>305</v>
      </c>
      <c r="GG76" s="182">
        <v>30.911000000000001</v>
      </c>
      <c r="GH76" s="182">
        <v>33.216000000000001</v>
      </c>
      <c r="GI76" s="182">
        <v>31.035</v>
      </c>
      <c r="GJ76" s="182">
        <v>37.957000000000001</v>
      </c>
      <c r="GK76" s="182"/>
      <c r="GL76" s="114"/>
      <c r="GM76" s="114"/>
      <c r="GN76" s="114"/>
      <c r="GP76" s="114"/>
      <c r="GQ76" s="114"/>
      <c r="GR76" s="114"/>
      <c r="GS76" s="114"/>
      <c r="GU76" s="114"/>
      <c r="GV76" s="114"/>
      <c r="GW76" s="114"/>
      <c r="GX76" s="114"/>
      <c r="HE76" s="113"/>
      <c r="HF76" s="113"/>
      <c r="HG76" s="113"/>
      <c r="HH76" s="113"/>
      <c r="HI76" s="113"/>
      <c r="HJ76" s="115"/>
      <c r="HK76" s="115"/>
      <c r="HL76" s="114"/>
      <c r="HV76" s="116"/>
    </row>
    <row r="77" spans="1:230" x14ac:dyDescent="0.2">
      <c r="A77" s="128">
        <v>74</v>
      </c>
      <c r="B77" s="129" t="s">
        <v>120</v>
      </c>
      <c r="C77" s="117">
        <v>36465</v>
      </c>
      <c r="D77" s="117">
        <v>36573</v>
      </c>
      <c r="E77" s="117">
        <v>36755</v>
      </c>
      <c r="F77" s="117">
        <v>36805</v>
      </c>
      <c r="G77" s="151">
        <v>36887</v>
      </c>
      <c r="H77" s="155">
        <v>32068</v>
      </c>
      <c r="I77" s="155">
        <v>1366</v>
      </c>
      <c r="J77" s="155">
        <v>103</v>
      </c>
      <c r="K77" s="155">
        <v>402</v>
      </c>
      <c r="L77" s="155">
        <v>2948</v>
      </c>
      <c r="M77" s="40">
        <v>14382</v>
      </c>
      <c r="N77" s="40">
        <v>14356</v>
      </c>
      <c r="O77" s="40">
        <v>14404</v>
      </c>
      <c r="P77" s="106">
        <v>14441</v>
      </c>
      <c r="Q77" s="106">
        <v>14489</v>
      </c>
      <c r="R77" s="51">
        <v>24.6</v>
      </c>
      <c r="S77" s="51">
        <v>25.5</v>
      </c>
      <c r="T77" s="51">
        <v>26.250979027064659</v>
      </c>
      <c r="U77" s="51">
        <v>27.267154179620789</v>
      </c>
      <c r="V77" s="51">
        <v>27.795569203772757</v>
      </c>
      <c r="W77" s="38">
        <v>33.6</v>
      </c>
      <c r="X77" s="38">
        <v>33.4</v>
      </c>
      <c r="Y77" s="38">
        <v>33.67853102427987</v>
      </c>
      <c r="Z77" s="38">
        <v>33.896746507860051</v>
      </c>
      <c r="AA77" s="38">
        <v>34.025005483658703</v>
      </c>
      <c r="AB77" s="51">
        <v>58.2</v>
      </c>
      <c r="AC77" s="51">
        <v>58.8</v>
      </c>
      <c r="AD77" s="51">
        <v>59.929510051344522</v>
      </c>
      <c r="AE77" s="51">
        <v>61.16390068748084</v>
      </c>
      <c r="AF77" s="51">
        <v>61.820574687431453</v>
      </c>
      <c r="AG77" s="39">
        <v>4.5999999999999996</v>
      </c>
      <c r="AH77" s="39">
        <v>3.732012267044114</v>
      </c>
      <c r="AI77" s="39">
        <v>3.3403904963537991</v>
      </c>
      <c r="AJ77" s="39">
        <v>3.5764905981290749</v>
      </c>
      <c r="AK77" s="39">
        <v>3.3540834339868071</v>
      </c>
      <c r="AL77" s="43">
        <v>1752.6666666666667</v>
      </c>
      <c r="AM77" s="43">
        <v>1571</v>
      </c>
      <c r="AN77" s="43">
        <v>2806.4166666666665</v>
      </c>
      <c r="AO77" s="43">
        <v>2724.1666666666665</v>
      </c>
      <c r="AP77" s="43">
        <v>2657.5833333333335</v>
      </c>
      <c r="AQ77" s="190">
        <v>43103.575257731958</v>
      </c>
      <c r="AR77" s="190">
        <v>43005.723041562924</v>
      </c>
      <c r="AS77" s="190">
        <v>43879.052422102875</v>
      </c>
      <c r="AT77" s="190">
        <v>44774.370058415981</v>
      </c>
      <c r="AU77" s="190">
        <v>44855.47</v>
      </c>
      <c r="AV77" s="162">
        <v>59787</v>
      </c>
      <c r="AW77" s="162">
        <v>56089.279999999999</v>
      </c>
      <c r="AX77" s="162">
        <v>60164</v>
      </c>
      <c r="AY77" s="161">
        <v>62799.1</v>
      </c>
      <c r="AZ77" s="161">
        <v>60143</v>
      </c>
      <c r="BA77" s="49">
        <v>10.7</v>
      </c>
      <c r="BB77" s="49">
        <v>10.9</v>
      </c>
      <c r="BC77" s="49">
        <v>9.4</v>
      </c>
      <c r="BD77" s="49">
        <v>9.1</v>
      </c>
      <c r="BE77" s="49">
        <v>9.3000000000000007</v>
      </c>
      <c r="BF77" s="42">
        <v>14.4</v>
      </c>
      <c r="BG77" s="42">
        <v>16.899999999999999</v>
      </c>
      <c r="BH77" s="42">
        <v>13.2</v>
      </c>
      <c r="BI77" s="42">
        <v>12.2</v>
      </c>
      <c r="BJ77" s="42">
        <v>12.4</v>
      </c>
      <c r="BK77" s="36">
        <v>6511</v>
      </c>
      <c r="BL77" s="36">
        <v>6565</v>
      </c>
      <c r="BM77" s="36">
        <v>6477</v>
      </c>
      <c r="BN77" s="36">
        <v>7072</v>
      </c>
      <c r="BO77" s="40">
        <v>41.422208570112119</v>
      </c>
      <c r="BP77" s="40">
        <v>39.801980198019805</v>
      </c>
      <c r="BQ77" s="40">
        <v>39.308321753898412</v>
      </c>
      <c r="BR77" s="40">
        <v>39.168552036199095</v>
      </c>
      <c r="BS77" s="51">
        <v>7.7407464291199508</v>
      </c>
      <c r="BT77" s="51">
        <v>7.5856816450875852</v>
      </c>
      <c r="BU77" s="51">
        <v>8.4452678709278981</v>
      </c>
      <c r="BV77" s="51">
        <v>6.3489819004524879</v>
      </c>
      <c r="BW77" s="39">
        <v>12.563354323452618</v>
      </c>
      <c r="BX77" s="39">
        <v>13.587204874333587</v>
      </c>
      <c r="BY77" s="39">
        <v>12.536668210591323</v>
      </c>
      <c r="BZ77" s="39">
        <v>15.016968325791854</v>
      </c>
      <c r="CA77" s="40">
        <v>87.298387096774192</v>
      </c>
      <c r="CB77" s="40">
        <v>86.767895878524953</v>
      </c>
      <c r="CC77" s="40">
        <v>89.28</v>
      </c>
      <c r="CD77" s="40">
        <v>83.21</v>
      </c>
      <c r="CE77" s="40">
        <v>4.2338709677419351</v>
      </c>
      <c r="CF77" s="40">
        <v>6.7391304347826084</v>
      </c>
      <c r="CG77" s="40">
        <v>4.74</v>
      </c>
      <c r="CH77" s="36">
        <v>5.78</v>
      </c>
      <c r="CI77" s="105">
        <v>2256</v>
      </c>
      <c r="CJ77" s="105">
        <v>2653</v>
      </c>
      <c r="CK77" s="104">
        <v>2488</v>
      </c>
      <c r="CL77" s="104">
        <v>2294</v>
      </c>
      <c r="CM77" s="39">
        <v>13.583406087244484</v>
      </c>
      <c r="CN77" s="39">
        <v>18.485228539576365</v>
      </c>
      <c r="CO77" s="39">
        <v>13.614003600488092</v>
      </c>
      <c r="CP77" s="39">
        <v>12.502384391094639</v>
      </c>
      <c r="CQ77" s="104">
        <v>98</v>
      </c>
      <c r="CR77" s="104">
        <v>101</v>
      </c>
      <c r="CS77" s="104">
        <v>115</v>
      </c>
      <c r="CT77" s="104">
        <v>118</v>
      </c>
      <c r="CU77" s="39">
        <v>4.5</v>
      </c>
      <c r="CV77" s="39">
        <v>4</v>
      </c>
      <c r="CW77" s="39">
        <v>4.8</v>
      </c>
      <c r="CX77" s="39">
        <v>5.3</v>
      </c>
      <c r="CY77" s="36">
        <v>151</v>
      </c>
      <c r="CZ77" s="104">
        <v>189</v>
      </c>
      <c r="DA77" s="104">
        <v>182</v>
      </c>
      <c r="DB77" s="104">
        <v>168</v>
      </c>
      <c r="DC77" s="39">
        <v>7.3</v>
      </c>
      <c r="DD77" s="39">
        <v>8</v>
      </c>
      <c r="DE77" s="39">
        <v>7.8</v>
      </c>
      <c r="DF77" s="39">
        <v>7.5</v>
      </c>
      <c r="DG77" s="39">
        <v>84.8</v>
      </c>
      <c r="DH77" s="39">
        <v>85.6</v>
      </c>
      <c r="DI77" s="39">
        <v>86.9</v>
      </c>
      <c r="DJ77" s="39">
        <v>89</v>
      </c>
      <c r="DK77" s="39">
        <v>16.8</v>
      </c>
      <c r="DL77" s="39">
        <v>14.9</v>
      </c>
      <c r="DM77" s="39">
        <v>13.7</v>
      </c>
      <c r="DN77" s="39">
        <v>13.9</v>
      </c>
      <c r="DO77" s="39">
        <v>25.8</v>
      </c>
      <c r="DP77" s="39">
        <v>31.1</v>
      </c>
      <c r="DQ77" s="39">
        <v>36.4</v>
      </c>
      <c r="DR77" s="39">
        <v>34.200000000000003</v>
      </c>
      <c r="DS77" s="39">
        <v>32.799999999999997</v>
      </c>
      <c r="DT77" s="39">
        <v>34.200000000000003</v>
      </c>
      <c r="DU77" s="39">
        <v>31.1</v>
      </c>
      <c r="DV77" s="39">
        <v>20.6</v>
      </c>
      <c r="DW77" s="45">
        <v>330</v>
      </c>
      <c r="DX77" s="45">
        <v>36</v>
      </c>
      <c r="DY77" s="15">
        <v>3</v>
      </c>
      <c r="DZ77" s="45">
        <v>2</v>
      </c>
      <c r="EA77" s="45">
        <v>48</v>
      </c>
      <c r="EB77" s="45">
        <v>14</v>
      </c>
      <c r="EC77" s="45">
        <v>10</v>
      </c>
      <c r="ED77" s="45">
        <v>8</v>
      </c>
      <c r="EE77" s="45">
        <v>9</v>
      </c>
      <c r="EF77" s="104">
        <v>1374</v>
      </c>
      <c r="EG77" s="104">
        <v>1288</v>
      </c>
      <c r="EH77" s="104">
        <v>1428</v>
      </c>
      <c r="EI77" s="104">
        <v>1557</v>
      </c>
      <c r="EJ77" s="174">
        <v>343</v>
      </c>
      <c r="EK77" s="174">
        <v>5</v>
      </c>
      <c r="EL77" s="174">
        <v>1</v>
      </c>
      <c r="EM77" s="174">
        <v>1</v>
      </c>
      <c r="EN77" s="174">
        <v>4</v>
      </c>
      <c r="EO77" s="39">
        <v>815.91399999999999</v>
      </c>
      <c r="EP77" s="39">
        <v>720.45899999999995</v>
      </c>
      <c r="EQ77" s="39">
        <v>780.84</v>
      </c>
      <c r="ER77" s="39">
        <v>847.23199999999997</v>
      </c>
      <c r="ES77" s="39">
        <v>740.73199999999997</v>
      </c>
      <c r="ET77" s="39">
        <v>631.51099999999997</v>
      </c>
      <c r="EU77" s="39">
        <v>623.97400000000005</v>
      </c>
      <c r="EV77" s="39">
        <v>611.35900000000004</v>
      </c>
      <c r="EW77" s="39">
        <v>882.79200000000003</v>
      </c>
      <c r="EX77" s="39">
        <v>796.52099999999996</v>
      </c>
      <c r="EY77" s="39">
        <v>753.49800000000005</v>
      </c>
      <c r="EZ77" s="39">
        <v>722.404</v>
      </c>
      <c r="FA77" s="39">
        <v>637.90700000000004</v>
      </c>
      <c r="FB77" s="39">
        <v>512.66399999999999</v>
      </c>
      <c r="FC77" s="39">
        <v>524.32100000000003</v>
      </c>
      <c r="FD77" s="39">
        <v>514.471</v>
      </c>
      <c r="FE77" s="44">
        <v>316</v>
      </c>
      <c r="FF77" s="44">
        <v>321</v>
      </c>
      <c r="FG77" s="44">
        <v>342</v>
      </c>
      <c r="FH77" s="44">
        <v>334</v>
      </c>
      <c r="FI77" s="39">
        <v>177.34800000000001</v>
      </c>
      <c r="FJ77" s="39">
        <v>166.815</v>
      </c>
      <c r="FK77" s="39">
        <v>158.52799999999999</v>
      </c>
      <c r="FL77" s="39">
        <v>138.137</v>
      </c>
      <c r="FM77" s="45">
        <v>362</v>
      </c>
      <c r="FN77" s="45">
        <v>341</v>
      </c>
      <c r="FO77" s="36">
        <v>340</v>
      </c>
      <c r="FP77" s="45">
        <v>317</v>
      </c>
      <c r="FQ77" s="39">
        <v>191.892</v>
      </c>
      <c r="FR77" s="39">
        <v>162.95400000000001</v>
      </c>
      <c r="FS77" s="39">
        <v>143.624</v>
      </c>
      <c r="FT77" s="39">
        <v>116.33499999999999</v>
      </c>
      <c r="FU77" s="43">
        <v>95</v>
      </c>
      <c r="FV77" s="43">
        <v>85</v>
      </c>
      <c r="FW77" s="43">
        <v>87</v>
      </c>
      <c r="FX77" s="45">
        <v>77</v>
      </c>
      <c r="FY77" s="39">
        <v>49.695</v>
      </c>
      <c r="FZ77" s="39">
        <v>39.506999999999998</v>
      </c>
      <c r="GA77" s="39">
        <v>35</v>
      </c>
      <c r="GB77" s="39">
        <v>28.834</v>
      </c>
      <c r="GC77" s="150">
        <v>67</v>
      </c>
      <c r="GD77" s="150">
        <v>82</v>
      </c>
      <c r="GE77" s="150">
        <v>82</v>
      </c>
      <c r="GF77" s="150">
        <v>87</v>
      </c>
      <c r="GG77" s="182">
        <v>38.045999999999999</v>
      </c>
      <c r="GH77" s="182">
        <v>41.332999999999998</v>
      </c>
      <c r="GI77" s="182">
        <v>39.018000000000001</v>
      </c>
      <c r="GJ77" s="182">
        <v>39.450000000000003</v>
      </c>
      <c r="GK77" s="182"/>
      <c r="GL77" s="114"/>
      <c r="GM77" s="114"/>
      <c r="GN77" s="114"/>
      <c r="GP77" s="114"/>
      <c r="GQ77" s="114"/>
      <c r="GR77" s="114"/>
      <c r="GS77" s="114"/>
      <c r="GU77" s="114"/>
      <c r="GV77" s="114"/>
      <c r="GW77" s="114"/>
      <c r="GX77" s="114"/>
      <c r="HE77" s="113"/>
      <c r="HF77" s="113"/>
      <c r="HG77" s="113"/>
      <c r="HH77" s="113"/>
      <c r="HI77" s="113"/>
      <c r="HJ77" s="115"/>
      <c r="HK77" s="115"/>
      <c r="HL77" s="114"/>
      <c r="HV77" s="116"/>
    </row>
    <row r="78" spans="1:230" x14ac:dyDescent="0.2">
      <c r="A78" s="128">
        <v>75</v>
      </c>
      <c r="B78" s="129" t="s">
        <v>121</v>
      </c>
      <c r="C78" s="117">
        <v>9735</v>
      </c>
      <c r="D78" s="117">
        <v>9800</v>
      </c>
      <c r="E78" s="117">
        <v>9796</v>
      </c>
      <c r="F78" s="117">
        <v>9693</v>
      </c>
      <c r="G78" s="151">
        <v>9634</v>
      </c>
      <c r="H78" s="155">
        <v>8594</v>
      </c>
      <c r="I78" s="155">
        <v>140</v>
      </c>
      <c r="J78" s="155">
        <v>136</v>
      </c>
      <c r="K78" s="155">
        <v>194</v>
      </c>
      <c r="L78" s="155">
        <v>570</v>
      </c>
      <c r="M78" s="40">
        <v>3718</v>
      </c>
      <c r="N78" s="40">
        <v>3730</v>
      </c>
      <c r="O78" s="40">
        <v>3729</v>
      </c>
      <c r="P78" s="106">
        <v>3697</v>
      </c>
      <c r="Q78" s="106">
        <v>3726</v>
      </c>
      <c r="R78" s="51">
        <v>24.8</v>
      </c>
      <c r="S78" s="51">
        <v>24.7</v>
      </c>
      <c r="T78" s="51">
        <v>24.429364589759409</v>
      </c>
      <c r="U78" s="51">
        <v>26.069793147007736</v>
      </c>
      <c r="V78" s="51">
        <v>26.493011435832276</v>
      </c>
      <c r="W78" s="38">
        <v>26.3</v>
      </c>
      <c r="X78" s="38">
        <v>26.2</v>
      </c>
      <c r="Y78" s="38">
        <v>26.650215916101171</v>
      </c>
      <c r="Z78" s="38">
        <v>26.985630822674878</v>
      </c>
      <c r="AA78" s="38">
        <v>26.524777636594663</v>
      </c>
      <c r="AB78" s="51">
        <v>51.1</v>
      </c>
      <c r="AC78" s="51">
        <v>50.9</v>
      </c>
      <c r="AD78" s="51">
        <v>51.079580505860577</v>
      </c>
      <c r="AE78" s="51">
        <v>53.055423969682614</v>
      </c>
      <c r="AF78" s="51">
        <v>53.017789072426936</v>
      </c>
      <c r="AG78" s="39">
        <v>3.3</v>
      </c>
      <c r="AH78" s="39">
        <v>3.1592173756955662</v>
      </c>
      <c r="AI78" s="39">
        <v>2.771483353669165</v>
      </c>
      <c r="AJ78" s="39">
        <v>3.0458650610943865</v>
      </c>
      <c r="AK78" s="39">
        <v>2.7807486631016043</v>
      </c>
      <c r="AL78" s="43">
        <v>290.91666666666669</v>
      </c>
      <c r="AM78" s="43">
        <v>286.5</v>
      </c>
      <c r="AN78" s="43">
        <v>263.08333333333331</v>
      </c>
      <c r="AO78" s="43">
        <v>243.83333333333334</v>
      </c>
      <c r="AP78" s="43">
        <v>251.16666666666666</v>
      </c>
      <c r="AQ78" s="190">
        <v>55958.918503331624</v>
      </c>
      <c r="AR78" s="190">
        <v>55942.288678669516</v>
      </c>
      <c r="AS78" s="190">
        <v>51502.040649576142</v>
      </c>
      <c r="AT78" s="190">
        <v>49985.444134942751</v>
      </c>
      <c r="AU78" s="190">
        <v>45917.4</v>
      </c>
      <c r="AV78" s="162">
        <v>53373.600000000006</v>
      </c>
      <c r="AW78" s="162">
        <v>58385.599999999999</v>
      </c>
      <c r="AX78" s="162">
        <v>57503.68</v>
      </c>
      <c r="AY78" s="161">
        <v>55952.69</v>
      </c>
      <c r="AZ78" s="161">
        <v>59406</v>
      </c>
      <c r="BA78" s="49">
        <v>14</v>
      </c>
      <c r="BB78" s="49">
        <v>14.2</v>
      </c>
      <c r="BC78" s="49">
        <v>10.9</v>
      </c>
      <c r="BD78" s="49">
        <v>11.1</v>
      </c>
      <c r="BE78" s="49">
        <v>10.3</v>
      </c>
      <c r="BF78" s="42">
        <v>11.4</v>
      </c>
      <c r="BG78" s="42">
        <v>11.7</v>
      </c>
      <c r="BH78" s="42">
        <v>8.6</v>
      </c>
      <c r="BI78" s="42">
        <v>9.6999999999999993</v>
      </c>
      <c r="BJ78" s="42">
        <v>8.8000000000000007</v>
      </c>
      <c r="BK78" s="36">
        <v>1532</v>
      </c>
      <c r="BL78" s="36">
        <v>1541</v>
      </c>
      <c r="BM78" s="36">
        <v>1544</v>
      </c>
      <c r="BN78" s="36">
        <v>1555</v>
      </c>
      <c r="BO78" s="40">
        <v>26.827676240208877</v>
      </c>
      <c r="BP78" s="40">
        <v>26.151849448410122</v>
      </c>
      <c r="BQ78" s="40">
        <v>27.655440414507773</v>
      </c>
      <c r="BR78" s="40">
        <v>26.688102893890676</v>
      </c>
      <c r="BS78" s="51">
        <v>2.7415143603133161</v>
      </c>
      <c r="BT78" s="51">
        <v>3.3744321868916289</v>
      </c>
      <c r="BU78" s="51">
        <v>2.5259067357512954</v>
      </c>
      <c r="BV78" s="51">
        <v>4.3086816720257239</v>
      </c>
      <c r="BW78" s="39">
        <v>17.754569190600524</v>
      </c>
      <c r="BX78" s="39">
        <v>17.975340687865021</v>
      </c>
      <c r="BY78" s="39">
        <v>15.99740932642487</v>
      </c>
      <c r="BZ78" s="39">
        <v>18.19935691318328</v>
      </c>
      <c r="CA78" s="40">
        <v>94.680851063829792</v>
      </c>
      <c r="CB78" s="40">
        <v>95.833333333333343</v>
      </c>
      <c r="CC78" s="40">
        <v>100</v>
      </c>
      <c r="CD78" s="40">
        <v>95.15</v>
      </c>
      <c r="CE78" s="40">
        <v>2.1276595744680851</v>
      </c>
      <c r="CF78" s="40">
        <v>1.6528925619834711</v>
      </c>
      <c r="CG78" s="40">
        <v>0</v>
      </c>
      <c r="CH78" s="36">
        <v>1.94</v>
      </c>
      <c r="CI78" s="105">
        <v>527</v>
      </c>
      <c r="CJ78" s="105">
        <v>559</v>
      </c>
      <c r="CK78" s="104">
        <v>576</v>
      </c>
      <c r="CL78" s="104">
        <v>588</v>
      </c>
      <c r="CM78" s="39">
        <v>10.533469249065579</v>
      </c>
      <c r="CN78" s="39">
        <v>14.255840048964602</v>
      </c>
      <c r="CO78" s="39">
        <v>11.909684889587297</v>
      </c>
      <c r="CP78" s="39">
        <v>12.084343787249784</v>
      </c>
      <c r="CQ78" s="104">
        <v>23</v>
      </c>
      <c r="CR78" s="104">
        <v>20</v>
      </c>
      <c r="CS78" s="104">
        <v>19</v>
      </c>
      <c r="CT78" s="104">
        <v>25</v>
      </c>
      <c r="CU78" s="39">
        <v>4.5</v>
      </c>
      <c r="CV78" s="39">
        <v>3.7</v>
      </c>
      <c r="CW78" s="39">
        <v>3.4</v>
      </c>
      <c r="CX78" s="39">
        <v>4.4000000000000004</v>
      </c>
      <c r="CY78" s="36">
        <v>36</v>
      </c>
      <c r="CZ78" s="104">
        <v>30</v>
      </c>
      <c r="DA78" s="104">
        <v>41</v>
      </c>
      <c r="DB78" s="104">
        <v>43</v>
      </c>
      <c r="DC78" s="39">
        <v>7.1</v>
      </c>
      <c r="DD78" s="39">
        <v>5.6</v>
      </c>
      <c r="DE78" s="39">
        <v>7.3</v>
      </c>
      <c r="DF78" s="39">
        <v>7.5</v>
      </c>
      <c r="DG78" s="39">
        <v>82</v>
      </c>
      <c r="DH78" s="39">
        <v>90.5</v>
      </c>
      <c r="DI78" s="39">
        <v>91.8</v>
      </c>
      <c r="DJ78" s="39">
        <v>87.3</v>
      </c>
      <c r="DK78" s="39">
        <v>7.6</v>
      </c>
      <c r="DL78" s="39">
        <v>7.9</v>
      </c>
      <c r="DM78" s="39">
        <v>9.1999999999999993</v>
      </c>
      <c r="DN78" s="39">
        <v>7.1</v>
      </c>
      <c r="DO78" s="39">
        <v>18.600000000000001</v>
      </c>
      <c r="DP78" s="39">
        <v>19.7</v>
      </c>
      <c r="DQ78" s="39">
        <v>21.9</v>
      </c>
      <c r="DR78" s="39">
        <v>18.100000000000001</v>
      </c>
      <c r="DS78" s="39">
        <v>9.8000000000000007</v>
      </c>
      <c r="DT78" s="39">
        <v>8.5</v>
      </c>
      <c r="DU78" s="39">
        <v>10.9</v>
      </c>
      <c r="DV78" s="39">
        <v>5.2</v>
      </c>
      <c r="DW78" s="45">
        <v>103</v>
      </c>
      <c r="DX78" s="45">
        <v>2</v>
      </c>
      <c r="DY78" s="15">
        <v>0</v>
      </c>
      <c r="DZ78" s="45">
        <v>1</v>
      </c>
      <c r="EA78" s="45">
        <v>23</v>
      </c>
      <c r="EB78" s="45">
        <v>2</v>
      </c>
      <c r="EC78" s="45">
        <v>5</v>
      </c>
      <c r="ED78" s="45">
        <v>2</v>
      </c>
      <c r="EE78" s="45">
        <v>4</v>
      </c>
      <c r="EF78" s="104">
        <v>466</v>
      </c>
      <c r="EG78" s="104">
        <v>384</v>
      </c>
      <c r="EH78" s="104">
        <v>445</v>
      </c>
      <c r="EI78" s="104">
        <v>412</v>
      </c>
      <c r="EJ78" s="174">
        <v>84</v>
      </c>
      <c r="EK78" s="174"/>
      <c r="EL78" s="174"/>
      <c r="EM78" s="174"/>
      <c r="EN78" s="174"/>
      <c r="EO78" s="39">
        <v>927.08600000000001</v>
      </c>
      <c r="EP78" s="39">
        <v>781.6</v>
      </c>
      <c r="EQ78" s="39">
        <v>915.07299999999998</v>
      </c>
      <c r="ER78" s="39">
        <v>841.16</v>
      </c>
      <c r="ES78" s="39">
        <v>664.88300000000004</v>
      </c>
      <c r="ET78" s="39">
        <v>513.86</v>
      </c>
      <c r="EU78" s="39">
        <v>612.60299999999995</v>
      </c>
      <c r="EV78" s="39">
        <v>559.55200000000002</v>
      </c>
      <c r="EW78" s="39">
        <v>811.08</v>
      </c>
      <c r="EX78" s="39">
        <v>617.75599999999997</v>
      </c>
      <c r="EY78" s="39">
        <v>738.70299999999997</v>
      </c>
      <c r="EZ78" s="39">
        <v>642.63499999999999</v>
      </c>
      <c r="FA78" s="39">
        <v>580.85400000000004</v>
      </c>
      <c r="FB78" s="39">
        <v>442.20800000000003</v>
      </c>
      <c r="FC78" s="39">
        <v>498.37299999999999</v>
      </c>
      <c r="FD78" s="39">
        <v>494.23599999999999</v>
      </c>
      <c r="FE78" s="44">
        <v>107</v>
      </c>
      <c r="FF78" s="44">
        <v>101</v>
      </c>
      <c r="FG78" s="44">
        <v>100</v>
      </c>
      <c r="FH78" s="44">
        <v>91</v>
      </c>
      <c r="FI78" s="39">
        <v>170.95099999999999</v>
      </c>
      <c r="FJ78" s="39">
        <v>141.63300000000001</v>
      </c>
      <c r="FK78" s="39">
        <v>158.34399999999999</v>
      </c>
      <c r="FL78" s="39">
        <v>141.267</v>
      </c>
      <c r="FM78" s="45">
        <v>104</v>
      </c>
      <c r="FN78" s="45">
        <v>73</v>
      </c>
      <c r="FO78" s="36">
        <v>105</v>
      </c>
      <c r="FP78" s="45">
        <v>115</v>
      </c>
      <c r="FQ78" s="39">
        <v>142.89699999999999</v>
      </c>
      <c r="FR78" s="39">
        <v>86.971000000000004</v>
      </c>
      <c r="FS78" s="39">
        <v>133.18899999999999</v>
      </c>
      <c r="FT78" s="39">
        <v>145.386</v>
      </c>
      <c r="FU78" s="43">
        <v>39</v>
      </c>
      <c r="FV78" s="43">
        <v>29</v>
      </c>
      <c r="FW78" s="43">
        <v>25</v>
      </c>
      <c r="FX78" s="45">
        <v>24</v>
      </c>
      <c r="FY78" s="39">
        <v>53.406999999999996</v>
      </c>
      <c r="FZ78" s="39">
        <v>35.119999999999997</v>
      </c>
      <c r="GA78" s="39">
        <v>32.655999999999999</v>
      </c>
      <c r="GB78" s="39">
        <v>31.905999999999999</v>
      </c>
      <c r="GC78" s="150">
        <v>23</v>
      </c>
      <c r="GD78" s="150">
        <v>28</v>
      </c>
      <c r="GE78" s="150">
        <v>24</v>
      </c>
      <c r="GF78" s="150">
        <v>25</v>
      </c>
      <c r="GG78" s="182">
        <v>35.332000000000001</v>
      </c>
      <c r="GH78" s="182">
        <v>46.06</v>
      </c>
      <c r="GI78" s="182">
        <v>44.28</v>
      </c>
      <c r="GJ78" s="182">
        <v>39.768999999999998</v>
      </c>
      <c r="GK78" s="182"/>
      <c r="GL78" s="114"/>
      <c r="GM78" s="114"/>
      <c r="GN78" s="114"/>
      <c r="GP78" s="114"/>
      <c r="GQ78" s="114"/>
      <c r="GR78" s="114"/>
      <c r="GS78" s="114"/>
      <c r="GU78" s="114"/>
      <c r="GV78" s="114"/>
      <c r="GW78" s="114"/>
      <c r="GX78" s="114"/>
      <c r="HE78" s="113"/>
      <c r="HF78" s="113"/>
      <c r="HG78" s="113"/>
      <c r="HH78" s="113"/>
      <c r="HI78" s="113"/>
      <c r="HJ78" s="115"/>
      <c r="HK78" s="115"/>
      <c r="HL78" s="114"/>
      <c r="HV78" s="116"/>
    </row>
    <row r="79" spans="1:230" x14ac:dyDescent="0.2">
      <c r="A79" s="128">
        <v>76</v>
      </c>
      <c r="B79" s="129" t="s">
        <v>122</v>
      </c>
      <c r="C79" s="117">
        <v>9546</v>
      </c>
      <c r="D79" s="117">
        <v>9436</v>
      </c>
      <c r="E79" s="117">
        <v>9340</v>
      </c>
      <c r="F79" s="117">
        <v>9419</v>
      </c>
      <c r="G79" s="151">
        <v>9407</v>
      </c>
      <c r="H79" s="155">
        <v>8586</v>
      </c>
      <c r="I79" s="155">
        <v>171</v>
      </c>
      <c r="J79" s="155">
        <v>50</v>
      </c>
      <c r="K79" s="155">
        <v>111</v>
      </c>
      <c r="L79" s="155">
        <v>489</v>
      </c>
      <c r="M79" s="40">
        <v>4191</v>
      </c>
      <c r="N79" s="40">
        <v>4183</v>
      </c>
      <c r="O79" s="40">
        <v>4159</v>
      </c>
      <c r="P79" s="106">
        <v>4159</v>
      </c>
      <c r="Q79" s="106">
        <v>4168</v>
      </c>
      <c r="R79" s="51">
        <v>34.4</v>
      </c>
      <c r="S79" s="51">
        <v>35.299999999999997</v>
      </c>
      <c r="T79" s="51">
        <v>36.340852130325814</v>
      </c>
      <c r="U79" s="51">
        <v>36.025067144136081</v>
      </c>
      <c r="V79" s="51">
        <v>36.755204594400574</v>
      </c>
      <c r="W79" s="38">
        <v>29.4</v>
      </c>
      <c r="X79" s="38">
        <v>29.7</v>
      </c>
      <c r="Y79" s="38">
        <v>30.862871464375225</v>
      </c>
      <c r="Z79" s="38">
        <v>32.623097582811099</v>
      </c>
      <c r="AA79" s="38">
        <v>32.071069633883702</v>
      </c>
      <c r="AB79" s="51">
        <v>63.7</v>
      </c>
      <c r="AC79" s="51">
        <v>64.900000000000006</v>
      </c>
      <c r="AD79" s="51">
        <v>67.203723594701032</v>
      </c>
      <c r="AE79" s="51">
        <v>68.648164726947186</v>
      </c>
      <c r="AF79" s="51">
        <v>68.826274228284277</v>
      </c>
      <c r="AG79" s="39">
        <v>5.5</v>
      </c>
      <c r="AH79" s="39">
        <v>4.8128342245989302</v>
      </c>
      <c r="AI79" s="39">
        <v>6.0315021129466002</v>
      </c>
      <c r="AJ79" s="39">
        <v>5.3137254901960782</v>
      </c>
      <c r="AK79" s="39">
        <v>4.2381233983835997</v>
      </c>
      <c r="AL79" s="43">
        <v>415.58333333333331</v>
      </c>
      <c r="AM79" s="43">
        <v>411.75</v>
      </c>
      <c r="AN79" s="43">
        <v>415.08333333333331</v>
      </c>
      <c r="AO79" s="43">
        <v>425.08333333333331</v>
      </c>
      <c r="AP79" s="43">
        <v>412</v>
      </c>
      <c r="AQ79" s="190">
        <v>46652.042098649079</v>
      </c>
      <c r="AR79" s="190">
        <v>47142.275701921048</v>
      </c>
      <c r="AS79" s="190">
        <v>52453.401753260638</v>
      </c>
      <c r="AT79" s="190">
        <v>49448.201507591046</v>
      </c>
      <c r="AU79" s="190">
        <v>44314.720000000001</v>
      </c>
      <c r="AV79" s="162">
        <v>51093</v>
      </c>
      <c r="AW79" s="162">
        <v>54166.32</v>
      </c>
      <c r="AX79" s="162">
        <v>53073.279999999999</v>
      </c>
      <c r="AY79" s="161">
        <v>48543.9</v>
      </c>
      <c r="AZ79" s="161">
        <v>53561</v>
      </c>
      <c r="BA79" s="49">
        <v>10.3</v>
      </c>
      <c r="BB79" s="49">
        <v>10.8</v>
      </c>
      <c r="BC79" s="49">
        <v>11.9</v>
      </c>
      <c r="BD79" s="49">
        <v>10.199999999999999</v>
      </c>
      <c r="BE79" s="49">
        <v>11.5</v>
      </c>
      <c r="BF79" s="42">
        <v>14.2</v>
      </c>
      <c r="BG79" s="42">
        <v>14.5</v>
      </c>
      <c r="BH79" s="42">
        <v>15.2</v>
      </c>
      <c r="BI79" s="42">
        <v>14.7</v>
      </c>
      <c r="BJ79" s="42">
        <v>14</v>
      </c>
      <c r="BK79" s="36">
        <v>1500</v>
      </c>
      <c r="BL79" s="36">
        <v>1537</v>
      </c>
      <c r="BM79" s="36">
        <v>1523</v>
      </c>
      <c r="BN79" s="36">
        <v>1792</v>
      </c>
      <c r="BO79" s="40">
        <v>37.466666666666669</v>
      </c>
      <c r="BP79" s="40">
        <v>41.639557579700714</v>
      </c>
      <c r="BQ79" s="40">
        <v>41.365725541694026</v>
      </c>
      <c r="BR79" s="40">
        <v>41.462053571428569</v>
      </c>
      <c r="BS79" s="51">
        <v>1.9333333333333333</v>
      </c>
      <c r="BT79" s="51">
        <v>1.756668835393624</v>
      </c>
      <c r="BU79" s="51">
        <v>1.9697964543663822</v>
      </c>
      <c r="BV79" s="51">
        <v>3.7946428571428568</v>
      </c>
      <c r="BW79" s="39">
        <v>15.266666666666667</v>
      </c>
      <c r="BX79" s="39">
        <v>15.549772283669485</v>
      </c>
      <c r="BY79" s="39">
        <v>15.758371634931057</v>
      </c>
      <c r="BZ79" s="39">
        <v>17.857142857142858</v>
      </c>
      <c r="CA79" s="40">
        <v>94.594594594594597</v>
      </c>
      <c r="CB79" s="40">
        <v>91.666666666666657</v>
      </c>
      <c r="CC79" s="40">
        <v>96.06</v>
      </c>
      <c r="CD79" s="40">
        <v>88.04</v>
      </c>
      <c r="CE79" s="40">
        <v>0</v>
      </c>
      <c r="CF79" s="40">
        <v>4.2016806722689077</v>
      </c>
      <c r="CG79" s="40">
        <v>2.36</v>
      </c>
      <c r="CH79" s="36">
        <v>5.43</v>
      </c>
      <c r="CI79" s="105">
        <v>618</v>
      </c>
      <c r="CJ79" s="105">
        <v>576</v>
      </c>
      <c r="CK79" s="104">
        <v>550</v>
      </c>
      <c r="CL79" s="104">
        <v>554</v>
      </c>
      <c r="CM79" s="39">
        <v>10.77819247270571</v>
      </c>
      <c r="CN79" s="39">
        <v>13.001963838288074</v>
      </c>
      <c r="CO79" s="39">
        <v>10.810810810810811</v>
      </c>
      <c r="CP79" s="39">
        <v>11.750233307881565</v>
      </c>
      <c r="CQ79" s="104">
        <v>28</v>
      </c>
      <c r="CR79" s="104">
        <v>21</v>
      </c>
      <c r="CS79" s="104">
        <v>19</v>
      </c>
      <c r="CT79" s="104">
        <v>24</v>
      </c>
      <c r="CU79" s="39">
        <v>4.5999999999999996</v>
      </c>
      <c r="CV79" s="39">
        <v>3.7</v>
      </c>
      <c r="CW79" s="39">
        <v>3.6</v>
      </c>
      <c r="CX79" s="39">
        <v>4.5</v>
      </c>
      <c r="CY79" s="36">
        <v>41</v>
      </c>
      <c r="CZ79" s="104">
        <v>23</v>
      </c>
      <c r="DA79" s="104">
        <v>30</v>
      </c>
      <c r="DB79" s="104">
        <v>35</v>
      </c>
      <c r="DC79" s="39">
        <v>7.1</v>
      </c>
      <c r="DD79" s="39">
        <v>4.4000000000000004</v>
      </c>
      <c r="DE79" s="39">
        <v>5.9</v>
      </c>
      <c r="DF79" s="39">
        <v>6.6</v>
      </c>
      <c r="DG79" s="39">
        <v>85</v>
      </c>
      <c r="DH79" s="39">
        <v>90.1</v>
      </c>
      <c r="DI79" s="39">
        <v>90.4</v>
      </c>
      <c r="DJ79" s="39">
        <v>84.2</v>
      </c>
      <c r="DK79" s="39">
        <v>17.5</v>
      </c>
      <c r="DL79" s="39">
        <v>18.7</v>
      </c>
      <c r="DM79" s="39">
        <v>17.5</v>
      </c>
      <c r="DN79" s="39">
        <v>17.7</v>
      </c>
      <c r="DO79" s="39">
        <v>24.4</v>
      </c>
      <c r="DP79" s="39">
        <v>27.8</v>
      </c>
      <c r="DQ79" s="39">
        <v>32.9</v>
      </c>
      <c r="DR79" s="39">
        <v>36.1</v>
      </c>
      <c r="DS79" s="39">
        <v>30.6</v>
      </c>
      <c r="DT79" s="39">
        <v>25.1</v>
      </c>
      <c r="DU79" s="39">
        <v>25</v>
      </c>
      <c r="DV79" s="39">
        <v>19.899999999999999</v>
      </c>
      <c r="DW79" s="45">
        <v>90</v>
      </c>
      <c r="DX79" s="45">
        <v>9</v>
      </c>
      <c r="DY79" s="15">
        <v>2</v>
      </c>
      <c r="DZ79" s="45">
        <v>10</v>
      </c>
      <c r="EA79" s="45">
        <v>8</v>
      </c>
      <c r="EB79" s="45">
        <v>2</v>
      </c>
      <c r="EC79" s="45">
        <v>4</v>
      </c>
      <c r="ED79" s="45">
        <v>2</v>
      </c>
      <c r="EE79" s="45">
        <v>1</v>
      </c>
      <c r="EF79" s="104">
        <v>662</v>
      </c>
      <c r="EG79" s="104">
        <v>579</v>
      </c>
      <c r="EH79" s="104">
        <v>561</v>
      </c>
      <c r="EI79" s="104">
        <v>569</v>
      </c>
      <c r="EJ79" s="174">
        <v>135</v>
      </c>
      <c r="EK79" s="174"/>
      <c r="EL79" s="174"/>
      <c r="EM79" s="174"/>
      <c r="EN79" s="174">
        <v>1</v>
      </c>
      <c r="EO79" s="39">
        <v>1107.394</v>
      </c>
      <c r="EP79" s="39">
        <v>1022.607</v>
      </c>
      <c r="EQ79" s="39">
        <v>1146.8869999999999</v>
      </c>
      <c r="ER79" s="39">
        <v>1218.415</v>
      </c>
      <c r="ES79" s="39">
        <v>701.923</v>
      </c>
      <c r="ET79" s="39">
        <v>612.13300000000004</v>
      </c>
      <c r="EU79" s="39">
        <v>640.21</v>
      </c>
      <c r="EV79" s="39">
        <v>674.73699999999997</v>
      </c>
      <c r="EW79" s="39">
        <v>899.36099999999999</v>
      </c>
      <c r="EX79" s="39">
        <v>759.27</v>
      </c>
      <c r="EY79" s="39">
        <v>761.49</v>
      </c>
      <c r="EZ79" s="39">
        <v>874.47299999999996</v>
      </c>
      <c r="FA79" s="39">
        <v>561.42100000000005</v>
      </c>
      <c r="FB79" s="39">
        <v>512.26900000000001</v>
      </c>
      <c r="FC79" s="39">
        <v>537.50300000000004</v>
      </c>
      <c r="FD79" s="39">
        <v>528.71</v>
      </c>
      <c r="FE79" s="44">
        <v>151</v>
      </c>
      <c r="FF79" s="44">
        <v>144</v>
      </c>
      <c r="FG79" s="44">
        <v>139</v>
      </c>
      <c r="FH79" s="44">
        <v>108</v>
      </c>
      <c r="FI79" s="39">
        <v>183.87899999999999</v>
      </c>
      <c r="FJ79" s="39">
        <v>169.72300000000001</v>
      </c>
      <c r="FK79" s="39">
        <v>175.91200000000001</v>
      </c>
      <c r="FL79" s="39">
        <v>135.62200000000001</v>
      </c>
      <c r="FM79" s="45">
        <v>203</v>
      </c>
      <c r="FN79" s="45">
        <v>153</v>
      </c>
      <c r="FO79" s="36">
        <v>136</v>
      </c>
      <c r="FP79" s="45">
        <v>141</v>
      </c>
      <c r="FQ79" s="39">
        <v>202.57300000000001</v>
      </c>
      <c r="FR79" s="39">
        <v>151.65600000000001</v>
      </c>
      <c r="FS79" s="39">
        <v>136.02199999999999</v>
      </c>
      <c r="FT79" s="39">
        <v>156.88200000000001</v>
      </c>
      <c r="FU79" s="43">
        <v>62</v>
      </c>
      <c r="FV79" s="43">
        <v>52</v>
      </c>
      <c r="FW79" s="43">
        <v>27</v>
      </c>
      <c r="FX79" s="45">
        <v>31</v>
      </c>
      <c r="FY79" s="39">
        <v>59.993000000000002</v>
      </c>
      <c r="FZ79" s="39">
        <v>45.347999999999999</v>
      </c>
      <c r="GA79" s="39">
        <v>27.818999999999999</v>
      </c>
      <c r="GB79" s="39">
        <v>29.51</v>
      </c>
      <c r="GC79" s="150">
        <v>22</v>
      </c>
      <c r="GD79" s="150">
        <v>18</v>
      </c>
      <c r="GE79" s="150">
        <v>32</v>
      </c>
      <c r="GF79" s="150">
        <v>38</v>
      </c>
      <c r="GG79" s="182">
        <v>28.178000000000001</v>
      </c>
      <c r="GH79" s="182">
        <v>27.718</v>
      </c>
      <c r="GI79" s="182">
        <v>51.771000000000001</v>
      </c>
      <c r="GJ79" s="182">
        <v>66.332999999999998</v>
      </c>
      <c r="GK79" s="182"/>
      <c r="GL79" s="114"/>
      <c r="GM79" s="114"/>
      <c r="GN79" s="114"/>
      <c r="GP79" s="114"/>
      <c r="GQ79" s="114"/>
      <c r="GR79" s="114"/>
      <c r="GS79" s="114"/>
      <c r="GU79" s="114"/>
      <c r="GV79" s="114"/>
      <c r="GW79" s="114"/>
      <c r="GX79" s="114"/>
      <c r="HE79" s="113"/>
      <c r="HF79" s="113"/>
      <c r="HG79" s="113"/>
      <c r="HH79" s="113"/>
      <c r="HI79" s="113"/>
      <c r="HJ79" s="115"/>
      <c r="HK79" s="115"/>
      <c r="HL79" s="114"/>
      <c r="HV79" s="116"/>
    </row>
    <row r="80" spans="1:230" ht="21" customHeight="1" x14ac:dyDescent="0.2">
      <c r="A80" s="128">
        <v>77</v>
      </c>
      <c r="B80" s="129" t="s">
        <v>123</v>
      </c>
      <c r="C80" s="117">
        <v>24382</v>
      </c>
      <c r="D80" s="117">
        <v>24264</v>
      </c>
      <c r="E80" s="117">
        <v>24257</v>
      </c>
      <c r="F80" s="117">
        <v>24233</v>
      </c>
      <c r="G80" s="151">
        <v>24515</v>
      </c>
      <c r="H80" s="155">
        <v>22537</v>
      </c>
      <c r="I80" s="155">
        <v>213</v>
      </c>
      <c r="J80" s="155">
        <v>122</v>
      </c>
      <c r="K80" s="155">
        <v>197</v>
      </c>
      <c r="L80" s="155">
        <v>1446</v>
      </c>
      <c r="M80" s="40">
        <v>9669</v>
      </c>
      <c r="N80" s="40">
        <v>9661</v>
      </c>
      <c r="O80" s="40">
        <v>9686</v>
      </c>
      <c r="P80" s="106">
        <v>9719</v>
      </c>
      <c r="Q80" s="106">
        <v>9809</v>
      </c>
      <c r="R80" s="51">
        <v>30.7</v>
      </c>
      <c r="S80" s="51">
        <v>31.4</v>
      </c>
      <c r="T80" s="51">
        <v>32.31985820437658</v>
      </c>
      <c r="U80" s="51">
        <v>33.022937350222527</v>
      </c>
      <c r="V80" s="51">
        <v>35.525952512424077</v>
      </c>
      <c r="W80" s="38">
        <v>31.7</v>
      </c>
      <c r="X80" s="38">
        <v>32.5</v>
      </c>
      <c r="Y80" s="38">
        <v>33.042470516054259</v>
      </c>
      <c r="Z80" s="38">
        <v>32.899691886340293</v>
      </c>
      <c r="AA80" s="38">
        <v>33.68304803975704</v>
      </c>
      <c r="AB80" s="51">
        <v>62.4</v>
      </c>
      <c r="AC80" s="51">
        <v>63.9</v>
      </c>
      <c r="AD80" s="51">
        <v>65.362328720430838</v>
      </c>
      <c r="AE80" s="51">
        <v>65.922629236562827</v>
      </c>
      <c r="AF80" s="51">
        <v>69.209000552181109</v>
      </c>
      <c r="AG80" s="39">
        <v>5.5</v>
      </c>
      <c r="AH80" s="39">
        <v>4.5539033457249074</v>
      </c>
      <c r="AI80" s="39">
        <v>4.3754789272030647</v>
      </c>
      <c r="AJ80" s="39">
        <v>4.7264260768335271</v>
      </c>
      <c r="AK80" s="39">
        <v>4.2561379204186869</v>
      </c>
      <c r="AL80" s="43">
        <v>1033.5833333333333</v>
      </c>
      <c r="AM80" s="43">
        <v>959</v>
      </c>
      <c r="AN80" s="43">
        <v>892</v>
      </c>
      <c r="AO80" s="43">
        <v>844.33333333333337</v>
      </c>
      <c r="AP80" s="43">
        <v>830.16666666666663</v>
      </c>
      <c r="AQ80" s="190">
        <v>35863.902648708397</v>
      </c>
      <c r="AR80" s="190">
        <v>37776.586653468614</v>
      </c>
      <c r="AS80" s="190">
        <v>37748.307184145342</v>
      </c>
      <c r="AT80" s="190">
        <v>37358.613873643379</v>
      </c>
      <c r="AU80" s="190">
        <v>39273.9</v>
      </c>
      <c r="AV80" s="162">
        <v>49103.25</v>
      </c>
      <c r="AW80" s="162">
        <v>45732.959999999999</v>
      </c>
      <c r="AX80" s="162">
        <v>45018.48</v>
      </c>
      <c r="AY80" s="161">
        <v>50305.200000000004</v>
      </c>
      <c r="AZ80" s="161">
        <v>49962</v>
      </c>
      <c r="BA80" s="49">
        <v>13.5</v>
      </c>
      <c r="BB80" s="49">
        <v>17.8</v>
      </c>
      <c r="BC80" s="49">
        <v>12.8</v>
      </c>
      <c r="BD80" s="49">
        <v>12.5</v>
      </c>
      <c r="BE80" s="49">
        <v>13.3</v>
      </c>
      <c r="BF80" s="42">
        <v>20.8</v>
      </c>
      <c r="BG80" s="42">
        <v>24.9</v>
      </c>
      <c r="BH80" s="42">
        <v>19.3</v>
      </c>
      <c r="BI80" s="42">
        <v>18.399999999999999</v>
      </c>
      <c r="BJ80" s="42">
        <v>17.100000000000001</v>
      </c>
      <c r="BK80" s="36">
        <v>3314</v>
      </c>
      <c r="BL80" s="36">
        <v>3312</v>
      </c>
      <c r="BM80" s="36">
        <v>3168</v>
      </c>
      <c r="BN80" s="36">
        <v>2699</v>
      </c>
      <c r="BO80" s="40">
        <v>56.819553409776702</v>
      </c>
      <c r="BP80" s="40">
        <v>56.340579710144929</v>
      </c>
      <c r="BQ80" s="40">
        <v>54.766414141414138</v>
      </c>
      <c r="BR80" s="40">
        <v>54.946276398666171</v>
      </c>
      <c r="BS80" s="51">
        <v>5.3108026554013277</v>
      </c>
      <c r="BT80" s="51">
        <v>5.7669082125603861</v>
      </c>
      <c r="BU80" s="51">
        <v>4.987373737373737</v>
      </c>
      <c r="BV80" s="51">
        <v>7.3360503890329749</v>
      </c>
      <c r="BW80" s="39">
        <v>19.613759806879905</v>
      </c>
      <c r="BX80" s="39">
        <v>21.014492753623188</v>
      </c>
      <c r="BY80" s="39">
        <v>18.055555555555557</v>
      </c>
      <c r="BZ80" s="39">
        <v>20.007410151908115</v>
      </c>
      <c r="CA80" s="40">
        <v>82.802547770700642</v>
      </c>
      <c r="CB80" s="40">
        <v>78.787878787878782</v>
      </c>
      <c r="CC80" s="40">
        <v>91.27</v>
      </c>
      <c r="CD80" s="40">
        <v>91.71</v>
      </c>
      <c r="CE80" s="40">
        <v>5.095541401273886</v>
      </c>
      <c r="CF80" s="40">
        <v>8.6261980830670932</v>
      </c>
      <c r="CG80" s="40">
        <v>2.1800000000000002</v>
      </c>
      <c r="CH80" s="36">
        <v>5.07</v>
      </c>
      <c r="CI80" s="105">
        <v>1356</v>
      </c>
      <c r="CJ80" s="105">
        <v>1578</v>
      </c>
      <c r="CK80" s="104">
        <v>1608</v>
      </c>
      <c r="CL80" s="104">
        <v>1606</v>
      </c>
      <c r="CM80" s="39">
        <v>11.147282233402388</v>
      </c>
      <c r="CN80" s="39">
        <v>16.15909230548672</v>
      </c>
      <c r="CO80" s="39">
        <v>13.177519545014997</v>
      </c>
      <c r="CP80" s="39">
        <v>13.201699944924416</v>
      </c>
      <c r="CQ80" s="104">
        <v>59</v>
      </c>
      <c r="CR80" s="104">
        <v>59</v>
      </c>
      <c r="CS80" s="104">
        <v>66</v>
      </c>
      <c r="CT80" s="104">
        <v>65</v>
      </c>
      <c r="CU80" s="39">
        <v>4.5</v>
      </c>
      <c r="CV80" s="39">
        <v>3.9</v>
      </c>
      <c r="CW80" s="39">
        <v>4.2</v>
      </c>
      <c r="CX80" s="39">
        <v>4.2</v>
      </c>
      <c r="CY80" s="36">
        <v>93</v>
      </c>
      <c r="CZ80" s="104">
        <v>114</v>
      </c>
      <c r="DA80" s="104">
        <v>121</v>
      </c>
      <c r="DB80" s="104">
        <v>120</v>
      </c>
      <c r="DC80" s="39">
        <v>7.6</v>
      </c>
      <c r="DD80" s="39">
        <v>8.1</v>
      </c>
      <c r="DE80" s="39">
        <v>8.4</v>
      </c>
      <c r="DF80" s="39">
        <v>7.9</v>
      </c>
      <c r="DG80" s="39">
        <v>75.900000000000006</v>
      </c>
      <c r="DH80" s="39">
        <v>76.2</v>
      </c>
      <c r="DI80" s="39">
        <v>74.2</v>
      </c>
      <c r="DJ80" s="39">
        <v>79.7</v>
      </c>
      <c r="DK80" s="39">
        <v>21.4</v>
      </c>
      <c r="DL80" s="39">
        <v>15.9</v>
      </c>
      <c r="DM80" s="39">
        <v>15.4</v>
      </c>
      <c r="DN80" s="39">
        <v>12.7</v>
      </c>
      <c r="DO80" s="39">
        <v>28.2</v>
      </c>
      <c r="DP80" s="39">
        <v>30.9</v>
      </c>
      <c r="DQ80" s="39">
        <v>29.8</v>
      </c>
      <c r="DR80" s="39">
        <v>31.1</v>
      </c>
      <c r="DS80" s="39">
        <v>26.8</v>
      </c>
      <c r="DT80" s="39">
        <v>34.9</v>
      </c>
      <c r="DU80" s="39">
        <v>25.7</v>
      </c>
      <c r="DV80" s="39">
        <v>27.1</v>
      </c>
      <c r="DW80" s="45">
        <v>280</v>
      </c>
      <c r="DX80" s="45">
        <v>1</v>
      </c>
      <c r="DY80" s="15">
        <v>2</v>
      </c>
      <c r="DZ80" s="45">
        <v>3</v>
      </c>
      <c r="EA80" s="45">
        <v>38</v>
      </c>
      <c r="EB80" s="45">
        <v>8</v>
      </c>
      <c r="EC80" s="45">
        <v>7</v>
      </c>
      <c r="ED80" s="45">
        <v>10</v>
      </c>
      <c r="EE80" s="45">
        <v>9</v>
      </c>
      <c r="EF80" s="104">
        <v>1112</v>
      </c>
      <c r="EG80" s="104">
        <v>1101</v>
      </c>
      <c r="EH80" s="104">
        <v>985</v>
      </c>
      <c r="EI80" s="104">
        <v>1099</v>
      </c>
      <c r="EJ80" s="174">
        <v>192</v>
      </c>
      <c r="EK80" s="174"/>
      <c r="EL80" s="174"/>
      <c r="EM80" s="174"/>
      <c r="EN80" s="174">
        <v>2</v>
      </c>
      <c r="EO80" s="39">
        <v>910.505</v>
      </c>
      <c r="EP80" s="39">
        <v>895.01300000000003</v>
      </c>
      <c r="EQ80" s="39">
        <v>791.32399999999996</v>
      </c>
      <c r="ER80" s="39">
        <v>906.13</v>
      </c>
      <c r="ES80" s="39">
        <v>725.05600000000004</v>
      </c>
      <c r="ET80" s="39">
        <v>677.65200000000004</v>
      </c>
      <c r="EU80" s="39">
        <v>602.28</v>
      </c>
      <c r="EV80" s="39">
        <v>636.81600000000003</v>
      </c>
      <c r="EW80" s="39">
        <v>921.83399999999995</v>
      </c>
      <c r="EX80" s="39">
        <v>833.71</v>
      </c>
      <c r="EY80" s="39">
        <v>704.07799999999997</v>
      </c>
      <c r="EZ80" s="39">
        <v>726.08500000000004</v>
      </c>
      <c r="FA80" s="39">
        <v>583.73400000000004</v>
      </c>
      <c r="FB80" s="39">
        <v>549.53499999999997</v>
      </c>
      <c r="FC80" s="39">
        <v>505.45400000000001</v>
      </c>
      <c r="FD80" s="39">
        <v>547.90099999999995</v>
      </c>
      <c r="FE80" s="44">
        <v>239</v>
      </c>
      <c r="FF80" s="44">
        <v>297</v>
      </c>
      <c r="FG80" s="44">
        <v>252</v>
      </c>
      <c r="FH80" s="44">
        <v>263</v>
      </c>
      <c r="FI80" s="39">
        <v>158.286</v>
      </c>
      <c r="FJ80" s="39">
        <v>191.13300000000001</v>
      </c>
      <c r="FK80" s="39">
        <v>152.80099999999999</v>
      </c>
      <c r="FL80" s="39">
        <v>149.56200000000001</v>
      </c>
      <c r="FM80" s="45">
        <v>227</v>
      </c>
      <c r="FN80" s="45">
        <v>241</v>
      </c>
      <c r="FO80" s="36">
        <v>193</v>
      </c>
      <c r="FP80" s="45">
        <v>239</v>
      </c>
      <c r="FQ80" s="39">
        <v>144.80500000000001</v>
      </c>
      <c r="FR80" s="39">
        <v>142.96199999999999</v>
      </c>
      <c r="FS80" s="39">
        <v>116.074</v>
      </c>
      <c r="FT80" s="39">
        <v>133.999</v>
      </c>
      <c r="FU80" s="43">
        <v>64</v>
      </c>
      <c r="FV80" s="43">
        <v>52</v>
      </c>
      <c r="FW80" s="43">
        <v>42</v>
      </c>
      <c r="FX80" s="45">
        <v>58</v>
      </c>
      <c r="FY80" s="39">
        <v>40.246000000000002</v>
      </c>
      <c r="FZ80" s="39">
        <v>29.797000000000001</v>
      </c>
      <c r="GA80" s="39">
        <v>24.31</v>
      </c>
      <c r="GB80" s="39">
        <v>33.347999999999999</v>
      </c>
      <c r="GC80" s="150">
        <v>45</v>
      </c>
      <c r="GD80" s="150">
        <v>62</v>
      </c>
      <c r="GE80" s="150">
        <v>58</v>
      </c>
      <c r="GF80" s="150">
        <v>67</v>
      </c>
      <c r="GG80" s="182">
        <v>33.860999999999997</v>
      </c>
      <c r="GH80" s="182">
        <v>46.423000000000002</v>
      </c>
      <c r="GI80" s="182">
        <v>43.454999999999998</v>
      </c>
      <c r="GJ80" s="182">
        <v>45.832000000000001</v>
      </c>
      <c r="GK80" s="182"/>
      <c r="GL80" s="114"/>
      <c r="GM80" s="114"/>
      <c r="GN80" s="114"/>
      <c r="GP80" s="114"/>
      <c r="GQ80" s="114"/>
      <c r="GR80" s="114"/>
      <c r="GS80" s="114"/>
      <c r="GU80" s="114"/>
      <c r="GV80" s="114"/>
      <c r="GW80" s="114"/>
      <c r="GX80" s="114"/>
      <c r="HE80" s="113"/>
      <c r="HF80" s="113"/>
      <c r="HG80" s="113"/>
      <c r="HH80" s="113"/>
      <c r="HI80" s="113"/>
      <c r="HJ80" s="115"/>
      <c r="HK80" s="115"/>
      <c r="HL80" s="114"/>
      <c r="HV80" s="116"/>
    </row>
    <row r="81" spans="1:230" x14ac:dyDescent="0.2">
      <c r="A81" s="128">
        <v>78</v>
      </c>
      <c r="B81" s="129" t="s">
        <v>124</v>
      </c>
      <c r="C81" s="117">
        <v>3445</v>
      </c>
      <c r="D81" s="117">
        <v>3387</v>
      </c>
      <c r="E81" s="117">
        <v>3401</v>
      </c>
      <c r="F81" s="117">
        <v>3356</v>
      </c>
      <c r="G81" s="151">
        <v>3319</v>
      </c>
      <c r="H81" s="155">
        <v>2996</v>
      </c>
      <c r="I81" s="155">
        <v>46</v>
      </c>
      <c r="J81" s="155">
        <v>174</v>
      </c>
      <c r="K81" s="155">
        <v>8</v>
      </c>
      <c r="L81" s="155">
        <v>95</v>
      </c>
      <c r="M81" s="40">
        <v>1506</v>
      </c>
      <c r="N81" s="40">
        <v>1493</v>
      </c>
      <c r="O81" s="40">
        <v>1497</v>
      </c>
      <c r="P81" s="106">
        <v>1485</v>
      </c>
      <c r="Q81" s="106">
        <v>1484</v>
      </c>
      <c r="R81" s="51">
        <v>44.9</v>
      </c>
      <c r="S81" s="51">
        <v>44.3</v>
      </c>
      <c r="T81" s="51">
        <v>43.902439024390247</v>
      </c>
      <c r="U81" s="51">
        <v>44.096509240246405</v>
      </c>
      <c r="V81" s="51">
        <v>43.65244536940687</v>
      </c>
      <c r="W81" s="38">
        <v>30.1</v>
      </c>
      <c r="X81" s="38">
        <v>28.3</v>
      </c>
      <c r="Y81" s="38">
        <v>28.912601626016261</v>
      </c>
      <c r="Z81" s="38">
        <v>28.182751540041068</v>
      </c>
      <c r="AA81" s="38">
        <v>29.032258064516132</v>
      </c>
      <c r="AB81" s="51">
        <v>75</v>
      </c>
      <c r="AC81" s="51">
        <v>72.599999999999994</v>
      </c>
      <c r="AD81" s="51">
        <v>72.815040650406502</v>
      </c>
      <c r="AE81" s="51">
        <v>72.279260780287473</v>
      </c>
      <c r="AF81" s="51">
        <v>72.684703433922991</v>
      </c>
      <c r="AG81" s="39">
        <v>4.7</v>
      </c>
      <c r="AH81" s="39">
        <v>4.6751669702489371</v>
      </c>
      <c r="AI81" s="39">
        <v>4.0672451193058565</v>
      </c>
      <c r="AJ81" s="39">
        <v>3.7119113573407199</v>
      </c>
      <c r="AK81" s="39">
        <v>3.6768802228412256</v>
      </c>
      <c r="AL81" s="43">
        <v>162.41666666666666</v>
      </c>
      <c r="AM81" s="43">
        <v>176.41666666666666</v>
      </c>
      <c r="AN81" s="43">
        <v>191.41666666666666</v>
      </c>
      <c r="AO81" s="43">
        <v>203.75</v>
      </c>
      <c r="AP81" s="43">
        <v>198.83333333333334</v>
      </c>
      <c r="AQ81" s="190">
        <v>68480.120128918847</v>
      </c>
      <c r="AR81" s="190">
        <v>56113.061946902657</v>
      </c>
      <c r="AS81" s="190">
        <v>57796.821659799883</v>
      </c>
      <c r="AT81" s="190">
        <v>54918.396901072701</v>
      </c>
      <c r="AU81" s="190">
        <v>47841.440000000002</v>
      </c>
      <c r="AV81" s="162">
        <v>48202.35</v>
      </c>
      <c r="AW81" s="162">
        <v>52469.04</v>
      </c>
      <c r="AX81" s="162">
        <v>51517.440000000002</v>
      </c>
      <c r="AY81" s="161">
        <v>48166.92</v>
      </c>
      <c r="AZ81" s="161">
        <v>50692</v>
      </c>
      <c r="BA81" s="49">
        <v>11.9</v>
      </c>
      <c r="BB81" s="49">
        <v>12.2</v>
      </c>
      <c r="BC81" s="49">
        <v>14.4</v>
      </c>
      <c r="BD81" s="49">
        <v>12.7</v>
      </c>
      <c r="BE81" s="49">
        <v>13</v>
      </c>
      <c r="BF81" s="42">
        <v>18.3</v>
      </c>
      <c r="BG81" s="42">
        <v>19.399999999999999</v>
      </c>
      <c r="BH81" s="42">
        <v>22.7</v>
      </c>
      <c r="BI81" s="42">
        <v>20.5</v>
      </c>
      <c r="BJ81" s="42">
        <v>19.8</v>
      </c>
      <c r="BK81" s="36">
        <v>509</v>
      </c>
      <c r="BL81" s="36">
        <v>505</v>
      </c>
      <c r="BM81" s="36">
        <v>536</v>
      </c>
      <c r="BN81" s="36">
        <v>568</v>
      </c>
      <c r="BO81" s="40">
        <v>42.239685658153242</v>
      </c>
      <c r="BP81" s="40">
        <v>46.336633663366335</v>
      </c>
      <c r="BQ81" s="40">
        <v>48.507462686567166</v>
      </c>
      <c r="BR81" s="40">
        <v>44.366197183098592</v>
      </c>
      <c r="BS81" s="51">
        <v>1.1787819253438114</v>
      </c>
      <c r="BT81" s="51">
        <v>1.1881188118811881</v>
      </c>
      <c r="BU81" s="51">
        <v>0.74626865671641796</v>
      </c>
      <c r="BV81" s="51">
        <v>0.70422535211267612</v>
      </c>
      <c r="BW81" s="39">
        <v>18.467583497053045</v>
      </c>
      <c r="BX81" s="39">
        <v>20.792079207920793</v>
      </c>
      <c r="BY81" s="39">
        <v>20.708955223880597</v>
      </c>
      <c r="BZ81" s="39">
        <v>19.014084507042252</v>
      </c>
      <c r="CA81" s="40">
        <v>97.435897435897431</v>
      </c>
      <c r="CB81" s="40">
        <v>95.833333333333343</v>
      </c>
      <c r="CC81" s="40">
        <v>94.59</v>
      </c>
      <c r="CD81" s="40">
        <v>93.1</v>
      </c>
      <c r="CE81" s="40">
        <v>0</v>
      </c>
      <c r="CF81" s="40">
        <v>4.166666666666667</v>
      </c>
      <c r="CG81" s="40">
        <v>2.7</v>
      </c>
      <c r="CH81" s="36">
        <v>0</v>
      </c>
      <c r="CI81" s="105">
        <v>177</v>
      </c>
      <c r="CJ81" s="105">
        <v>189</v>
      </c>
      <c r="CK81" s="104">
        <v>170</v>
      </c>
      <c r="CL81" s="104">
        <v>172</v>
      </c>
      <c r="CM81" s="39">
        <v>8.6434222092001161</v>
      </c>
      <c r="CN81" s="39">
        <v>12.440758293838863</v>
      </c>
      <c r="CO81" s="39">
        <v>9.5693779904306222</v>
      </c>
      <c r="CP81" s="39">
        <v>10.172699313934233</v>
      </c>
      <c r="CQ81" s="104">
        <v>11</v>
      </c>
      <c r="CR81" s="104">
        <v>12</v>
      </c>
      <c r="CS81" s="104">
        <v>9</v>
      </c>
      <c r="CT81" s="104">
        <v>10</v>
      </c>
      <c r="CU81" s="39">
        <v>6.8</v>
      </c>
      <c r="CV81" s="39">
        <v>6.4</v>
      </c>
      <c r="CW81" s="39">
        <v>5.4</v>
      </c>
      <c r="CX81" s="39">
        <v>5.9</v>
      </c>
      <c r="CY81" s="36">
        <v>11</v>
      </c>
      <c r="CZ81" s="104">
        <v>16</v>
      </c>
      <c r="DA81" s="104">
        <v>15</v>
      </c>
      <c r="DB81" s="104">
        <v>14</v>
      </c>
      <c r="DC81" s="39">
        <v>7.1</v>
      </c>
      <c r="DD81" s="39">
        <v>8.8000000000000007</v>
      </c>
      <c r="DE81" s="39">
        <v>9.4</v>
      </c>
      <c r="DF81" s="39">
        <v>8.3000000000000007</v>
      </c>
      <c r="DG81" s="39">
        <v>85.3</v>
      </c>
      <c r="DH81" s="39">
        <v>81.8</v>
      </c>
      <c r="DI81" s="39">
        <v>84.2</v>
      </c>
      <c r="DJ81" s="39">
        <v>89.9</v>
      </c>
      <c r="DK81" s="39">
        <v>21.6</v>
      </c>
      <c r="DL81" s="39">
        <v>20.100000000000001</v>
      </c>
      <c r="DM81" s="39">
        <v>20.6</v>
      </c>
      <c r="DN81" s="39">
        <v>19.899999999999999</v>
      </c>
      <c r="DO81" s="39">
        <v>22</v>
      </c>
      <c r="DP81" s="39">
        <v>28.6</v>
      </c>
      <c r="DQ81" s="39">
        <v>32.4</v>
      </c>
      <c r="DR81" s="39">
        <v>37.4</v>
      </c>
      <c r="DS81" s="39">
        <v>16.7</v>
      </c>
      <c r="DT81" s="39">
        <v>16.399999999999999</v>
      </c>
      <c r="DU81" s="39">
        <v>17.8</v>
      </c>
      <c r="DV81" s="39">
        <v>6.1</v>
      </c>
      <c r="DW81" s="45">
        <v>28</v>
      </c>
      <c r="DX81" s="45">
        <v>0</v>
      </c>
      <c r="DY81" s="15">
        <v>12</v>
      </c>
      <c r="DZ81" s="45">
        <v>0</v>
      </c>
      <c r="EA81" s="45">
        <v>0</v>
      </c>
      <c r="EB81" s="45">
        <v>2</v>
      </c>
      <c r="EC81" s="45"/>
      <c r="ED81" s="45">
        <v>2</v>
      </c>
      <c r="EE81" s="45">
        <v>2</v>
      </c>
      <c r="EF81" s="104">
        <v>304</v>
      </c>
      <c r="EG81" s="104">
        <v>273</v>
      </c>
      <c r="EH81" s="104">
        <v>275</v>
      </c>
      <c r="EI81" s="104">
        <v>265</v>
      </c>
      <c r="EJ81" s="174">
        <v>55</v>
      </c>
      <c r="EK81" s="174"/>
      <c r="EL81" s="174">
        <v>3</v>
      </c>
      <c r="EM81" s="174"/>
      <c r="EN81" s="174"/>
      <c r="EO81" s="39">
        <v>1470.731</v>
      </c>
      <c r="EP81" s="39">
        <v>1433.0709999999999</v>
      </c>
      <c r="EQ81" s="39">
        <v>1545.8119999999999</v>
      </c>
      <c r="ER81" s="39">
        <v>1558.365</v>
      </c>
      <c r="ES81" s="39">
        <v>732.99199999999996</v>
      </c>
      <c r="ET81" s="39">
        <v>621.64800000000002</v>
      </c>
      <c r="EU81" s="39">
        <v>686.00599999999997</v>
      </c>
      <c r="EV81" s="39">
        <v>715.99300000000005</v>
      </c>
      <c r="EW81" s="39">
        <v>863.18299999999999</v>
      </c>
      <c r="EX81" s="39">
        <v>818.06500000000005</v>
      </c>
      <c r="EY81" s="39">
        <v>849.89</v>
      </c>
      <c r="EZ81" s="39">
        <v>905.10199999999998</v>
      </c>
      <c r="FA81" s="39">
        <v>610.50599999999997</v>
      </c>
      <c r="FB81" s="39">
        <v>489.59800000000001</v>
      </c>
      <c r="FC81" s="39">
        <v>573.07000000000005</v>
      </c>
      <c r="FD81" s="39">
        <v>588.89499999999998</v>
      </c>
      <c r="FE81" s="44">
        <v>73</v>
      </c>
      <c r="FF81" s="44">
        <v>58</v>
      </c>
      <c r="FG81" s="44">
        <v>64</v>
      </c>
      <c r="FH81" s="44">
        <v>37</v>
      </c>
      <c r="FI81" s="39">
        <v>193.828</v>
      </c>
      <c r="FJ81" s="39">
        <v>154.83199999999999</v>
      </c>
      <c r="FK81" s="39">
        <v>160.05600000000001</v>
      </c>
      <c r="FL81" s="39">
        <v>99.22</v>
      </c>
      <c r="FM81" s="45">
        <v>125</v>
      </c>
      <c r="FN81" s="45">
        <v>100</v>
      </c>
      <c r="FO81" s="36">
        <v>71</v>
      </c>
      <c r="FP81" s="45">
        <v>71</v>
      </c>
      <c r="FQ81" s="39">
        <v>260.75700000000001</v>
      </c>
      <c r="FR81" s="39">
        <v>185.215</v>
      </c>
      <c r="FS81" s="39">
        <v>174.85300000000001</v>
      </c>
      <c r="FT81" s="39">
        <v>167.459</v>
      </c>
      <c r="FU81" s="43">
        <v>16</v>
      </c>
      <c r="FV81" s="43">
        <v>16</v>
      </c>
      <c r="FW81" s="43">
        <v>17</v>
      </c>
      <c r="FX81" s="45">
        <v>19</v>
      </c>
      <c r="FY81" s="39">
        <v>32.491</v>
      </c>
      <c r="FZ81" s="39">
        <v>34.197000000000003</v>
      </c>
      <c r="GA81" s="39">
        <v>32.311</v>
      </c>
      <c r="GB81" s="39">
        <v>42.658999999999999</v>
      </c>
      <c r="GC81" s="150">
        <v>9</v>
      </c>
      <c r="GD81" s="150">
        <v>12</v>
      </c>
      <c r="GE81" s="150">
        <v>12</v>
      </c>
      <c r="GF81" s="150">
        <v>15</v>
      </c>
      <c r="GG81" s="182">
        <v>44.308</v>
      </c>
      <c r="GH81" s="182">
        <v>64.349000000000004</v>
      </c>
      <c r="GI81" s="182">
        <v>53.223999999999997</v>
      </c>
      <c r="GJ81" s="182">
        <v>66.856999999999999</v>
      </c>
      <c r="GK81" s="182"/>
      <c r="GL81" s="114"/>
      <c r="GM81" s="114"/>
      <c r="GN81" s="114"/>
      <c r="GP81" s="114"/>
      <c r="GQ81" s="114"/>
      <c r="GR81" s="114"/>
      <c r="GS81" s="114"/>
      <c r="GU81" s="114"/>
      <c r="GV81" s="114"/>
      <c r="GW81" s="114"/>
      <c r="GX81" s="114"/>
      <c r="HE81" s="113"/>
      <c r="HF81" s="113"/>
      <c r="HG81" s="113"/>
      <c r="HH81" s="113"/>
      <c r="HI81" s="113"/>
      <c r="HJ81" s="115"/>
      <c r="HK81" s="115"/>
      <c r="HL81" s="114"/>
      <c r="HV81" s="116"/>
    </row>
    <row r="82" spans="1:230" x14ac:dyDescent="0.2">
      <c r="A82" s="128">
        <v>79</v>
      </c>
      <c r="B82" s="129" t="s">
        <v>125</v>
      </c>
      <c r="C82" s="117">
        <v>21443</v>
      </c>
      <c r="D82" s="117">
        <v>21362</v>
      </c>
      <c r="E82" s="117">
        <v>21239</v>
      </c>
      <c r="F82" s="117">
        <v>21273</v>
      </c>
      <c r="G82" s="151">
        <v>21608</v>
      </c>
      <c r="H82" s="155">
        <v>20592</v>
      </c>
      <c r="I82" s="155">
        <v>214</v>
      </c>
      <c r="J82" s="155">
        <v>67</v>
      </c>
      <c r="K82" s="155">
        <v>123</v>
      </c>
      <c r="L82" s="155">
        <v>612</v>
      </c>
      <c r="M82" s="40">
        <v>8806</v>
      </c>
      <c r="N82" s="40">
        <v>8806</v>
      </c>
      <c r="O82" s="40">
        <v>8804</v>
      </c>
      <c r="P82" s="106">
        <v>8787</v>
      </c>
      <c r="Q82" s="106">
        <v>8899</v>
      </c>
      <c r="R82" s="51">
        <v>29</v>
      </c>
      <c r="S82" s="51">
        <v>29.8</v>
      </c>
      <c r="T82" s="51">
        <v>30.80926163360736</v>
      </c>
      <c r="U82" s="51">
        <v>31.815767508915698</v>
      </c>
      <c r="V82" s="51">
        <v>35.05580186515823</v>
      </c>
      <c r="W82" s="38">
        <v>29.8</v>
      </c>
      <c r="X82" s="38">
        <v>29.4</v>
      </c>
      <c r="Y82" s="38">
        <v>29.376272720416317</v>
      </c>
      <c r="Z82" s="38">
        <v>29.600121405265956</v>
      </c>
      <c r="AA82" s="38">
        <v>30.117719003210517</v>
      </c>
      <c r="AB82" s="51">
        <v>58.8</v>
      </c>
      <c r="AC82" s="51">
        <v>59.2</v>
      </c>
      <c r="AD82" s="51">
        <v>60.185534354023687</v>
      </c>
      <c r="AE82" s="51">
        <v>61.41588891418165</v>
      </c>
      <c r="AF82" s="51">
        <v>65.173520868368755</v>
      </c>
      <c r="AG82" s="39">
        <v>4.5999999999999996</v>
      </c>
      <c r="AH82" s="39">
        <v>3.9404701505158126</v>
      </c>
      <c r="AI82" s="39">
        <v>3.6240278007612114</v>
      </c>
      <c r="AJ82" s="39">
        <v>3.7126647755715005</v>
      </c>
      <c r="AK82" s="39">
        <v>3.4925398016170708</v>
      </c>
      <c r="AL82" s="43">
        <v>624.16666666666663</v>
      </c>
      <c r="AM82" s="43">
        <v>577.5</v>
      </c>
      <c r="AN82" s="43">
        <v>585.91666666666663</v>
      </c>
      <c r="AO82" s="43">
        <v>550.83333333333337</v>
      </c>
      <c r="AP82" s="43">
        <v>518</v>
      </c>
      <c r="AQ82" s="190">
        <v>43793.002241524235</v>
      </c>
      <c r="AR82" s="190">
        <v>45029.281524238591</v>
      </c>
      <c r="AS82" s="190">
        <v>45539.104646236403</v>
      </c>
      <c r="AT82" s="190">
        <v>45869.740046067782</v>
      </c>
      <c r="AU82" s="190">
        <v>45914.31</v>
      </c>
      <c r="AV82" s="162">
        <v>58470.3</v>
      </c>
      <c r="AW82" s="162">
        <v>54721.68</v>
      </c>
      <c r="AX82" s="162">
        <v>61102.080000000002</v>
      </c>
      <c r="AY82" s="161">
        <v>59609.19</v>
      </c>
      <c r="AZ82" s="161">
        <v>63374</v>
      </c>
      <c r="BA82" s="49">
        <v>9.4</v>
      </c>
      <c r="BB82" s="49">
        <v>7.3</v>
      </c>
      <c r="BC82" s="49">
        <v>6.9</v>
      </c>
      <c r="BD82" s="49">
        <v>7.6</v>
      </c>
      <c r="BE82" s="49">
        <v>7</v>
      </c>
      <c r="BF82" s="42">
        <v>11.7</v>
      </c>
      <c r="BG82" s="42">
        <v>10.5</v>
      </c>
      <c r="BH82" s="42">
        <v>9.6999999999999993</v>
      </c>
      <c r="BI82" s="42">
        <v>9.9</v>
      </c>
      <c r="BJ82" s="42">
        <v>8.8000000000000007</v>
      </c>
      <c r="BK82" s="36">
        <v>4439</v>
      </c>
      <c r="BL82" s="36">
        <v>4472</v>
      </c>
      <c r="BM82" s="36">
        <v>4446</v>
      </c>
      <c r="BN82" s="36">
        <v>3666</v>
      </c>
      <c r="BO82" s="40">
        <v>27.799053840955171</v>
      </c>
      <c r="BP82" s="40">
        <v>26.923076923076923</v>
      </c>
      <c r="BQ82" s="40">
        <v>24.741340530814217</v>
      </c>
      <c r="BR82" s="40">
        <v>24.931805782869613</v>
      </c>
      <c r="BS82" s="51">
        <v>1.4642937598558234</v>
      </c>
      <c r="BT82" s="51">
        <v>1.5205724508050089</v>
      </c>
      <c r="BU82" s="51">
        <v>1.4844804318488529</v>
      </c>
      <c r="BV82" s="51">
        <v>2.0185488270594654</v>
      </c>
      <c r="BW82" s="39">
        <v>12.975895471953143</v>
      </c>
      <c r="BX82" s="39">
        <v>13.506261180679786</v>
      </c>
      <c r="BY82" s="39">
        <v>12.663067926225821</v>
      </c>
      <c r="BZ82" s="39">
        <v>14.075286415711949</v>
      </c>
      <c r="CA82" s="40">
        <v>89.837398373983731</v>
      </c>
      <c r="CB82" s="40">
        <v>90.769230769230774</v>
      </c>
      <c r="CC82" s="40">
        <v>89.55</v>
      </c>
      <c r="CD82" s="40">
        <v>91.34</v>
      </c>
      <c r="CE82" s="40">
        <v>2.8455284552845526</v>
      </c>
      <c r="CF82" s="40">
        <v>3.1128404669260701</v>
      </c>
      <c r="CG82" s="40">
        <v>6.34</v>
      </c>
      <c r="CH82" s="36">
        <v>4.33</v>
      </c>
      <c r="CI82" s="105">
        <v>1218</v>
      </c>
      <c r="CJ82" s="105">
        <v>1343</v>
      </c>
      <c r="CK82" s="104">
        <v>1230</v>
      </c>
      <c r="CL82" s="104">
        <v>1172</v>
      </c>
      <c r="CM82" s="39">
        <v>11.339515137973411</v>
      </c>
      <c r="CN82" s="39">
        <v>15.178571428571429</v>
      </c>
      <c r="CO82" s="39">
        <v>11.341736668848952</v>
      </c>
      <c r="CP82" s="39">
        <v>10.960953939677344</v>
      </c>
      <c r="CQ82" s="104">
        <v>68</v>
      </c>
      <c r="CR82" s="104">
        <v>60</v>
      </c>
      <c r="CS82" s="104">
        <v>49</v>
      </c>
      <c r="CT82" s="104">
        <v>49</v>
      </c>
      <c r="CU82" s="39">
        <v>5.9</v>
      </c>
      <c r="CV82" s="39">
        <v>4.7</v>
      </c>
      <c r="CW82" s="39">
        <v>4.0999999999999996</v>
      </c>
      <c r="CX82" s="39">
        <v>4.3</v>
      </c>
      <c r="CY82" s="36">
        <v>85</v>
      </c>
      <c r="CZ82" s="104">
        <v>88</v>
      </c>
      <c r="DA82" s="104">
        <v>73</v>
      </c>
      <c r="DB82" s="104">
        <v>66</v>
      </c>
      <c r="DC82" s="39">
        <v>8.1</v>
      </c>
      <c r="DD82" s="39">
        <v>7.2</v>
      </c>
      <c r="DE82" s="39">
        <v>6.4</v>
      </c>
      <c r="DF82" s="39">
        <v>5.8</v>
      </c>
      <c r="DG82" s="39">
        <v>88.2</v>
      </c>
      <c r="DH82" s="39">
        <v>89.4</v>
      </c>
      <c r="DI82" s="39">
        <v>88.5</v>
      </c>
      <c r="DJ82" s="39">
        <v>84.2</v>
      </c>
      <c r="DK82" s="39">
        <v>14.7</v>
      </c>
      <c r="DL82" s="39">
        <v>12.1</v>
      </c>
      <c r="DM82" s="39">
        <v>13.2</v>
      </c>
      <c r="DN82" s="39">
        <v>15.5</v>
      </c>
      <c r="DO82" s="39">
        <v>23.6</v>
      </c>
      <c r="DP82" s="39">
        <v>27.7</v>
      </c>
      <c r="DQ82" s="39">
        <v>30.9</v>
      </c>
      <c r="DR82" s="39">
        <v>35.1</v>
      </c>
      <c r="DS82" s="39">
        <v>23.1</v>
      </c>
      <c r="DT82" s="39">
        <v>24.6</v>
      </c>
      <c r="DU82" s="39">
        <v>19.600000000000001</v>
      </c>
      <c r="DV82" s="39">
        <v>16.399999999999999</v>
      </c>
      <c r="DW82" s="45">
        <v>221</v>
      </c>
      <c r="DX82" s="45">
        <v>5</v>
      </c>
      <c r="DY82" s="15">
        <v>1</v>
      </c>
      <c r="DZ82" s="45">
        <v>4</v>
      </c>
      <c r="EA82" s="45">
        <v>12</v>
      </c>
      <c r="EB82" s="45">
        <v>11</v>
      </c>
      <c r="EC82" s="45">
        <v>4</v>
      </c>
      <c r="ED82" s="45">
        <v>7</v>
      </c>
      <c r="EE82" s="45">
        <v>4</v>
      </c>
      <c r="EF82" s="104">
        <v>941</v>
      </c>
      <c r="EG82" s="104">
        <v>946</v>
      </c>
      <c r="EH82" s="104">
        <v>852</v>
      </c>
      <c r="EI82" s="104">
        <v>971</v>
      </c>
      <c r="EJ82" s="174">
        <v>194</v>
      </c>
      <c r="EK82" s="174"/>
      <c r="EL82" s="174">
        <v>2</v>
      </c>
      <c r="EM82" s="174"/>
      <c r="EN82" s="174"/>
      <c r="EO82" s="39">
        <v>870.89300000000003</v>
      </c>
      <c r="EP82" s="39">
        <v>852.25199999999995</v>
      </c>
      <c r="EQ82" s="39">
        <v>786.12300000000005</v>
      </c>
      <c r="ER82" s="39">
        <v>914.35599999999999</v>
      </c>
      <c r="ES82" s="39">
        <v>712.41499999999996</v>
      </c>
      <c r="ET82" s="39">
        <v>653.77200000000005</v>
      </c>
      <c r="EU82" s="39">
        <v>571.73900000000003</v>
      </c>
      <c r="EV82" s="39">
        <v>605.88499999999999</v>
      </c>
      <c r="EW82" s="39">
        <v>878.76099999999997</v>
      </c>
      <c r="EX82" s="39">
        <v>771.80700000000002</v>
      </c>
      <c r="EY82" s="39">
        <v>695.101</v>
      </c>
      <c r="EZ82" s="39">
        <v>708.69200000000001</v>
      </c>
      <c r="FA82" s="39">
        <v>581.17700000000002</v>
      </c>
      <c r="FB82" s="39">
        <v>552.82799999999997</v>
      </c>
      <c r="FC82" s="39">
        <v>466.42399999999998</v>
      </c>
      <c r="FD82" s="39">
        <v>513.69799999999998</v>
      </c>
      <c r="FE82" s="44">
        <v>240</v>
      </c>
      <c r="FF82" s="44">
        <v>244</v>
      </c>
      <c r="FG82" s="44">
        <v>234</v>
      </c>
      <c r="FH82" s="44">
        <v>258</v>
      </c>
      <c r="FI82" s="39">
        <v>187.94200000000001</v>
      </c>
      <c r="FJ82" s="39">
        <v>178.77600000000001</v>
      </c>
      <c r="FK82" s="39">
        <v>160.78100000000001</v>
      </c>
      <c r="FL82" s="39">
        <v>162.59100000000001</v>
      </c>
      <c r="FM82" s="45">
        <v>237</v>
      </c>
      <c r="FN82" s="45">
        <v>236</v>
      </c>
      <c r="FO82" s="36">
        <v>180</v>
      </c>
      <c r="FP82" s="45">
        <v>231</v>
      </c>
      <c r="FQ82" s="39">
        <v>174.66300000000001</v>
      </c>
      <c r="FR82" s="39">
        <v>157.19300000000001</v>
      </c>
      <c r="FS82" s="39">
        <v>116.738</v>
      </c>
      <c r="FT82" s="39">
        <v>138.489</v>
      </c>
      <c r="FU82" s="43">
        <v>74</v>
      </c>
      <c r="FV82" s="43">
        <v>59</v>
      </c>
      <c r="FW82" s="43">
        <v>45</v>
      </c>
      <c r="FX82" s="45">
        <v>51</v>
      </c>
      <c r="FY82" s="39">
        <v>52.801000000000002</v>
      </c>
      <c r="FZ82" s="39">
        <v>36.976999999999997</v>
      </c>
      <c r="GA82" s="39">
        <v>29.34</v>
      </c>
      <c r="GB82" s="39">
        <v>30.702999999999999</v>
      </c>
      <c r="GC82" s="150">
        <v>54</v>
      </c>
      <c r="GD82" s="150">
        <v>58</v>
      </c>
      <c r="GE82" s="150">
        <v>58</v>
      </c>
      <c r="GF82" s="150">
        <v>58</v>
      </c>
      <c r="GG82" s="182">
        <v>45.984000000000002</v>
      </c>
      <c r="GH82" s="182">
        <v>43.926000000000002</v>
      </c>
      <c r="GI82" s="182">
        <v>45.226999999999997</v>
      </c>
      <c r="GJ82" s="182">
        <v>39.959000000000003</v>
      </c>
      <c r="GK82" s="182"/>
      <c r="GL82" s="114"/>
      <c r="GM82" s="114"/>
      <c r="GN82" s="114"/>
      <c r="GP82" s="114"/>
      <c r="GQ82" s="114"/>
      <c r="GR82" s="114"/>
      <c r="GS82" s="114"/>
      <c r="GU82" s="114"/>
      <c r="GV82" s="114"/>
      <c r="GW82" s="114"/>
      <c r="GX82" s="114"/>
      <c r="HE82" s="113"/>
      <c r="HF82" s="113"/>
      <c r="HG82" s="113"/>
      <c r="HH82" s="113"/>
      <c r="HI82" s="113"/>
      <c r="HJ82" s="115"/>
      <c r="HK82" s="115"/>
      <c r="HL82" s="114"/>
      <c r="HV82" s="116"/>
    </row>
    <row r="83" spans="1:230" x14ac:dyDescent="0.2">
      <c r="A83" s="128">
        <v>80</v>
      </c>
      <c r="B83" s="129" t="s">
        <v>126</v>
      </c>
      <c r="C83" s="117">
        <v>13804</v>
      </c>
      <c r="D83" s="117">
        <v>13757</v>
      </c>
      <c r="E83" s="117">
        <v>13875</v>
      </c>
      <c r="F83" s="117">
        <v>13761</v>
      </c>
      <c r="G83" s="151">
        <v>13669</v>
      </c>
      <c r="H83" s="155">
        <v>13030</v>
      </c>
      <c r="I83" s="155">
        <v>228</v>
      </c>
      <c r="J83" s="155">
        <v>105</v>
      </c>
      <c r="K83" s="155">
        <v>56</v>
      </c>
      <c r="L83" s="155">
        <v>250</v>
      </c>
      <c r="M83" s="40">
        <v>5729</v>
      </c>
      <c r="N83" s="40">
        <v>5729</v>
      </c>
      <c r="O83" s="40">
        <v>5753</v>
      </c>
      <c r="P83" s="106">
        <v>5746</v>
      </c>
      <c r="Q83" s="106">
        <v>5745</v>
      </c>
      <c r="R83" s="51">
        <v>36.9</v>
      </c>
      <c r="S83" s="51">
        <v>36.9</v>
      </c>
      <c r="T83" s="51">
        <v>37.635615413393189</v>
      </c>
      <c r="U83" s="51">
        <v>38.361360475407764</v>
      </c>
      <c r="V83" s="51">
        <v>36.668785759694849</v>
      </c>
      <c r="W83" s="38">
        <v>35</v>
      </c>
      <c r="X83" s="38">
        <v>34.299999999999997</v>
      </c>
      <c r="Y83" s="38">
        <v>35.390946502057616</v>
      </c>
      <c r="Z83" s="38">
        <v>35.630294601087371</v>
      </c>
      <c r="AA83" s="38">
        <v>37.126509853782579</v>
      </c>
      <c r="AB83" s="51">
        <v>72</v>
      </c>
      <c r="AC83" s="51">
        <v>71.2</v>
      </c>
      <c r="AD83" s="51">
        <v>73.026561915450799</v>
      </c>
      <c r="AE83" s="51">
        <v>73.991655076495135</v>
      </c>
      <c r="AF83" s="51">
        <v>73.795295613477435</v>
      </c>
      <c r="AG83" s="39">
        <v>7.1</v>
      </c>
      <c r="AH83" s="39">
        <v>6.1221175706398183</v>
      </c>
      <c r="AI83" s="39">
        <v>5.9035955409012404</v>
      </c>
      <c r="AJ83" s="39">
        <v>5.9737347853939786</v>
      </c>
      <c r="AK83" s="39">
        <v>5.47457078069323</v>
      </c>
      <c r="AL83" s="43">
        <v>954.75</v>
      </c>
      <c r="AM83" s="43">
        <v>869.66666666666663</v>
      </c>
      <c r="AN83" s="43">
        <v>812.25</v>
      </c>
      <c r="AO83" s="43">
        <v>764.5</v>
      </c>
      <c r="AP83" s="43">
        <v>774.16666666666663</v>
      </c>
      <c r="AQ83" s="190">
        <v>34791.114260793722</v>
      </c>
      <c r="AR83" s="190">
        <v>35990.181367907346</v>
      </c>
      <c r="AS83" s="190">
        <v>36792.987425928608</v>
      </c>
      <c r="AT83" s="190">
        <v>37522.134292565956</v>
      </c>
      <c r="AU83" s="190">
        <v>39028.76</v>
      </c>
      <c r="AV83" s="162">
        <v>39455.85</v>
      </c>
      <c r="AW83" s="162">
        <v>41397.200000000004</v>
      </c>
      <c r="AX83" s="162">
        <v>43585.36</v>
      </c>
      <c r="AY83" s="161">
        <v>46964.91</v>
      </c>
      <c r="AZ83" s="161">
        <v>45716</v>
      </c>
      <c r="BA83" s="49">
        <v>15.5</v>
      </c>
      <c r="BB83" s="49">
        <v>15.8</v>
      </c>
      <c r="BC83" s="49">
        <v>15</v>
      </c>
      <c r="BD83" s="49">
        <v>14.6</v>
      </c>
      <c r="BE83" s="49">
        <v>15.7</v>
      </c>
      <c r="BF83" s="42">
        <v>20.3</v>
      </c>
      <c r="BG83" s="42">
        <v>22.4</v>
      </c>
      <c r="BH83" s="42">
        <v>19.600000000000001</v>
      </c>
      <c r="BI83" s="42">
        <v>19.2</v>
      </c>
      <c r="BJ83" s="42">
        <v>20.7</v>
      </c>
      <c r="BK83" s="36">
        <v>2952</v>
      </c>
      <c r="BL83" s="36">
        <v>2990</v>
      </c>
      <c r="BM83" s="36">
        <v>2995</v>
      </c>
      <c r="BN83" s="36">
        <v>3304</v>
      </c>
      <c r="BO83" s="40">
        <v>53.285907859078591</v>
      </c>
      <c r="BP83" s="40">
        <v>51.337792642140471</v>
      </c>
      <c r="BQ83" s="40">
        <v>50.918196994991654</v>
      </c>
      <c r="BR83" s="40">
        <v>51.08958837772397</v>
      </c>
      <c r="BS83" s="51">
        <v>3.3875338753387531E-2</v>
      </c>
      <c r="BT83" s="51">
        <v>0.10033444816053512</v>
      </c>
      <c r="BU83" s="51">
        <v>0.26711185308848079</v>
      </c>
      <c r="BV83" s="51">
        <v>0.36319612590799033</v>
      </c>
      <c r="BW83" s="39">
        <v>16.937669376693766</v>
      </c>
      <c r="BX83" s="39">
        <v>17.826086956521738</v>
      </c>
      <c r="BY83" s="39">
        <v>16.994991652754592</v>
      </c>
      <c r="BZ83" s="39">
        <v>20.732445520581113</v>
      </c>
      <c r="CA83" s="40">
        <v>89.743589743589752</v>
      </c>
      <c r="CB83" s="40">
        <v>92.934782608695656</v>
      </c>
      <c r="CC83" s="40">
        <v>83.91</v>
      </c>
      <c r="CD83" s="40">
        <v>82.03</v>
      </c>
      <c r="CE83" s="40">
        <v>4.6153846153846159</v>
      </c>
      <c r="CF83" s="40">
        <v>2.8248587570621471</v>
      </c>
      <c r="CG83" s="40">
        <v>4.3499999999999996</v>
      </c>
      <c r="CH83" s="36">
        <v>6.64</v>
      </c>
      <c r="CI83" s="105">
        <v>811</v>
      </c>
      <c r="CJ83" s="105">
        <v>933</v>
      </c>
      <c r="CK83" s="104">
        <v>891</v>
      </c>
      <c r="CL83" s="104">
        <v>912</v>
      </c>
      <c r="CM83" s="39">
        <v>12.049087775598739</v>
      </c>
      <c r="CN83" s="39">
        <v>17.252218934911241</v>
      </c>
      <c r="CO83" s="39">
        <v>13.114705839061511</v>
      </c>
      <c r="CP83" s="39">
        <v>13.243109807452154</v>
      </c>
      <c r="CQ83" s="104">
        <v>24</v>
      </c>
      <c r="CR83" s="104">
        <v>60</v>
      </c>
      <c r="CS83" s="104">
        <v>38</v>
      </c>
      <c r="CT83" s="104">
        <v>37</v>
      </c>
      <c r="CU83" s="39">
        <v>3</v>
      </c>
      <c r="CV83" s="39">
        <v>6.6</v>
      </c>
      <c r="CW83" s="39">
        <v>4.4000000000000004</v>
      </c>
      <c r="CX83" s="39">
        <v>4.2</v>
      </c>
      <c r="CY83" s="36">
        <v>46</v>
      </c>
      <c r="CZ83" s="104">
        <v>76</v>
      </c>
      <c r="DA83" s="104">
        <v>66</v>
      </c>
      <c r="DB83" s="104">
        <v>66</v>
      </c>
      <c r="DC83" s="39">
        <v>6.2</v>
      </c>
      <c r="DD83" s="39">
        <v>8.9</v>
      </c>
      <c r="DE83" s="39">
        <v>7.8</v>
      </c>
      <c r="DF83" s="39">
        <v>7.5</v>
      </c>
      <c r="DG83" s="39">
        <v>77.3</v>
      </c>
      <c r="DH83" s="39">
        <v>83.6</v>
      </c>
      <c r="DI83" s="39">
        <v>83.4</v>
      </c>
      <c r="DJ83" s="39">
        <v>82.2</v>
      </c>
      <c r="DK83" s="39">
        <v>23.8</v>
      </c>
      <c r="DL83" s="39">
        <v>23.6</v>
      </c>
      <c r="DM83" s="39">
        <v>21.8</v>
      </c>
      <c r="DN83" s="39">
        <v>22.4</v>
      </c>
      <c r="DO83" s="39">
        <v>28.2</v>
      </c>
      <c r="DP83" s="39">
        <v>33.9</v>
      </c>
      <c r="DQ83" s="39">
        <v>34.6</v>
      </c>
      <c r="DR83" s="39">
        <v>35.200000000000003</v>
      </c>
      <c r="DS83" s="39">
        <v>33.700000000000003</v>
      </c>
      <c r="DT83" s="39">
        <v>40.4</v>
      </c>
      <c r="DU83" s="39">
        <v>36.5</v>
      </c>
      <c r="DV83" s="39">
        <v>28</v>
      </c>
      <c r="DW83" s="45">
        <v>188</v>
      </c>
      <c r="DX83" s="45">
        <v>4</v>
      </c>
      <c r="DY83" s="15">
        <v>0</v>
      </c>
      <c r="DZ83" s="45">
        <v>0</v>
      </c>
      <c r="EA83" s="45">
        <v>1</v>
      </c>
      <c r="EB83" s="45">
        <v>1</v>
      </c>
      <c r="EC83" s="45">
        <v>8</v>
      </c>
      <c r="ED83" s="45">
        <v>4</v>
      </c>
      <c r="EE83" s="45">
        <v>3</v>
      </c>
      <c r="EF83" s="104">
        <v>953</v>
      </c>
      <c r="EG83" s="104">
        <v>975</v>
      </c>
      <c r="EH83" s="104">
        <v>904</v>
      </c>
      <c r="EI83" s="104">
        <v>1005</v>
      </c>
      <c r="EJ83" s="174">
        <v>216</v>
      </c>
      <c r="EK83" s="174">
        <v>2</v>
      </c>
      <c r="EL83" s="174">
        <v>1</v>
      </c>
      <c r="EM83" s="174"/>
      <c r="EN83" s="174"/>
      <c r="EO83" s="39">
        <v>1389.922</v>
      </c>
      <c r="EP83" s="39">
        <v>1428.5709999999999</v>
      </c>
      <c r="EQ83" s="39">
        <v>1306.075</v>
      </c>
      <c r="ER83" s="39">
        <v>1448.6489999999999</v>
      </c>
      <c r="ES83" s="39">
        <v>880.64</v>
      </c>
      <c r="ET83" s="39">
        <v>881.09699999999998</v>
      </c>
      <c r="EU83" s="39">
        <v>748.83500000000004</v>
      </c>
      <c r="EV83" s="39">
        <v>871.01499999999999</v>
      </c>
      <c r="EW83" s="39">
        <v>1079.3050000000001</v>
      </c>
      <c r="EX83" s="39">
        <v>1100.364</v>
      </c>
      <c r="EY83" s="39">
        <v>901.38400000000001</v>
      </c>
      <c r="EZ83" s="39">
        <v>1044.327</v>
      </c>
      <c r="FA83" s="39">
        <v>733.17200000000003</v>
      </c>
      <c r="FB83" s="39">
        <v>694.94799999999998</v>
      </c>
      <c r="FC83" s="39">
        <v>626.11099999999999</v>
      </c>
      <c r="FD83" s="39">
        <v>741.625</v>
      </c>
      <c r="FE83" s="44">
        <v>192</v>
      </c>
      <c r="FF83" s="44">
        <v>186</v>
      </c>
      <c r="FG83" s="44">
        <v>195</v>
      </c>
      <c r="FH83" s="44">
        <v>210</v>
      </c>
      <c r="FI83" s="39">
        <v>185.715</v>
      </c>
      <c r="FJ83" s="39">
        <v>182.51300000000001</v>
      </c>
      <c r="FK83" s="39">
        <v>178.49199999999999</v>
      </c>
      <c r="FL83" s="39">
        <v>186.983</v>
      </c>
      <c r="FM83" s="45">
        <v>281</v>
      </c>
      <c r="FN83" s="45">
        <v>271</v>
      </c>
      <c r="FO83" s="36">
        <v>219</v>
      </c>
      <c r="FP83" s="45">
        <v>202</v>
      </c>
      <c r="FQ83" s="39">
        <v>258.08</v>
      </c>
      <c r="FR83" s="39">
        <v>239.76</v>
      </c>
      <c r="FS83" s="39">
        <v>173.428</v>
      </c>
      <c r="FT83" s="39">
        <v>169.97900000000001</v>
      </c>
      <c r="FU83" s="43">
        <v>74</v>
      </c>
      <c r="FV83" s="43">
        <v>77</v>
      </c>
      <c r="FW83" s="43">
        <v>48</v>
      </c>
      <c r="FX83" s="45">
        <v>59</v>
      </c>
      <c r="FY83" s="39">
        <v>63.76</v>
      </c>
      <c r="FZ83" s="39">
        <v>64.498999999999995</v>
      </c>
      <c r="GA83" s="39">
        <v>36.450000000000003</v>
      </c>
      <c r="GB83" s="39">
        <v>45.561</v>
      </c>
      <c r="GC83" s="150">
        <v>40</v>
      </c>
      <c r="GD83" s="150">
        <v>29</v>
      </c>
      <c r="GE83" s="150">
        <v>30</v>
      </c>
      <c r="GF83" s="150">
        <v>49</v>
      </c>
      <c r="GG83" s="182">
        <v>52.128</v>
      </c>
      <c r="GH83" s="182">
        <v>32.543999999999997</v>
      </c>
      <c r="GI83" s="182">
        <v>33.997</v>
      </c>
      <c r="GJ83" s="182">
        <v>58.914000000000001</v>
      </c>
      <c r="GK83" s="182"/>
      <c r="GL83" s="114"/>
      <c r="GM83" s="114"/>
      <c r="GN83" s="114"/>
      <c r="GP83" s="114"/>
      <c r="GQ83" s="114"/>
      <c r="GR83" s="114"/>
      <c r="GS83" s="114"/>
      <c r="GU83" s="114"/>
      <c r="GV83" s="114"/>
      <c r="GW83" s="114"/>
      <c r="GX83" s="114"/>
      <c r="HE83" s="113"/>
      <c r="HF83" s="113"/>
      <c r="HG83" s="113"/>
      <c r="HH83" s="113"/>
      <c r="HI83" s="113"/>
      <c r="HJ83" s="115"/>
      <c r="HK83" s="115"/>
      <c r="HL83" s="114"/>
      <c r="HV83" s="116"/>
    </row>
    <row r="84" spans="1:230" x14ac:dyDescent="0.2">
      <c r="A84" s="128">
        <v>81</v>
      </c>
      <c r="B84" s="129" t="s">
        <v>127</v>
      </c>
      <c r="C84" s="117">
        <v>19098</v>
      </c>
      <c r="D84" s="117">
        <v>19025</v>
      </c>
      <c r="E84" s="117">
        <v>18989</v>
      </c>
      <c r="F84" s="117">
        <v>18911</v>
      </c>
      <c r="G84" s="151">
        <v>18787</v>
      </c>
      <c r="H84" s="155">
        <v>16835</v>
      </c>
      <c r="I84" s="155">
        <v>525</v>
      </c>
      <c r="J84" s="155">
        <v>125</v>
      </c>
      <c r="K84" s="155">
        <v>172</v>
      </c>
      <c r="L84" s="155">
        <v>1130</v>
      </c>
      <c r="M84" s="40">
        <v>7311</v>
      </c>
      <c r="N84" s="40">
        <v>7303</v>
      </c>
      <c r="O84" s="40">
        <v>7294</v>
      </c>
      <c r="P84" s="106">
        <v>7303</v>
      </c>
      <c r="Q84" s="106">
        <v>7322</v>
      </c>
      <c r="R84" s="51">
        <v>24.4</v>
      </c>
      <c r="S84" s="51">
        <v>25.1</v>
      </c>
      <c r="T84" s="51">
        <v>26.035600032811089</v>
      </c>
      <c r="U84" s="51">
        <v>27.103270366980109</v>
      </c>
      <c r="V84" s="51">
        <v>27.850451514895774</v>
      </c>
      <c r="W84" s="38">
        <v>29.7</v>
      </c>
      <c r="X84" s="38">
        <v>29.8</v>
      </c>
      <c r="Y84" s="38">
        <v>29.726847674513984</v>
      </c>
      <c r="Z84" s="38">
        <v>30.265457268869099</v>
      </c>
      <c r="AA84" s="38">
        <v>30.703012912482063</v>
      </c>
      <c r="AB84" s="51">
        <v>54.1</v>
      </c>
      <c r="AC84" s="51">
        <v>54.9</v>
      </c>
      <c r="AD84" s="51">
        <v>55.76244770732508</v>
      </c>
      <c r="AE84" s="51">
        <v>57.368727635849211</v>
      </c>
      <c r="AF84" s="51">
        <v>58.553464427377833</v>
      </c>
      <c r="AG84" s="39">
        <v>5.7</v>
      </c>
      <c r="AH84" s="39">
        <v>4.7269342159702106</v>
      </c>
      <c r="AI84" s="39">
        <v>4.1917389087200405</v>
      </c>
      <c r="AJ84" s="39">
        <v>4.2977824709609296</v>
      </c>
      <c r="AK84" s="39">
        <v>4.0136635354397949</v>
      </c>
      <c r="AL84" s="43">
        <v>902.83333333333337</v>
      </c>
      <c r="AM84" s="43">
        <v>826.91666666666663</v>
      </c>
      <c r="AN84" s="43"/>
      <c r="AO84" s="43"/>
      <c r="AQ84" s="190">
        <v>43955.770137833453</v>
      </c>
      <c r="AR84" s="190">
        <v>45346.729198503454</v>
      </c>
      <c r="AS84" s="190">
        <v>46760.536813851912</v>
      </c>
      <c r="AT84" s="190">
        <v>44604.974882343609</v>
      </c>
      <c r="AU84" s="190">
        <v>43068.42</v>
      </c>
      <c r="AV84" s="162">
        <v>55573.350000000006</v>
      </c>
      <c r="AW84" s="162">
        <v>55585.920000000006</v>
      </c>
      <c r="AX84" s="162">
        <v>56350.32</v>
      </c>
      <c r="AY84" s="161">
        <v>56129.85</v>
      </c>
      <c r="AZ84" s="161">
        <v>59246</v>
      </c>
      <c r="BA84" s="49">
        <v>10.3</v>
      </c>
      <c r="BB84" s="49">
        <v>10.1</v>
      </c>
      <c r="BC84" s="49">
        <v>9.9</v>
      </c>
      <c r="BD84" s="49">
        <v>9.3000000000000007</v>
      </c>
      <c r="BE84" s="49">
        <v>10.3</v>
      </c>
      <c r="BF84" s="42">
        <v>14</v>
      </c>
      <c r="BG84" s="42">
        <v>13.6</v>
      </c>
      <c r="BH84" s="42">
        <v>13.6</v>
      </c>
      <c r="BI84" s="42">
        <v>12.5</v>
      </c>
      <c r="BJ84" s="42">
        <v>12.8</v>
      </c>
      <c r="BK84" s="36">
        <v>3760</v>
      </c>
      <c r="BL84" s="36">
        <v>3593</v>
      </c>
      <c r="BM84" s="36">
        <v>3529</v>
      </c>
      <c r="BN84" s="36">
        <v>3243</v>
      </c>
      <c r="BO84" s="40">
        <v>41.48936170212766</v>
      </c>
      <c r="BP84" s="40">
        <v>35.958808794878934</v>
      </c>
      <c r="BQ84" s="40">
        <v>34.854066307735906</v>
      </c>
      <c r="BR84" s="40">
        <v>35.831020659882824</v>
      </c>
      <c r="BS84" s="51">
        <v>1.5691489361702127</v>
      </c>
      <c r="BT84" s="51">
        <v>2.449206790982466</v>
      </c>
      <c r="BU84" s="51">
        <v>2.3802776990648908</v>
      </c>
      <c r="BV84" s="51">
        <v>3.2994141227258709</v>
      </c>
      <c r="BW84" s="39">
        <v>15.531914893617021</v>
      </c>
      <c r="BX84" s="39">
        <v>16.142499304202616</v>
      </c>
      <c r="BY84" s="39">
        <v>15.131765372626807</v>
      </c>
      <c r="BZ84" s="39">
        <v>16.682084489670061</v>
      </c>
      <c r="CA84" s="40">
        <v>90.140845070422543</v>
      </c>
      <c r="CB84" s="40">
        <v>91.698113207547166</v>
      </c>
      <c r="CC84" s="40">
        <v>87.11</v>
      </c>
      <c r="CD84" s="40">
        <v>82.85</v>
      </c>
      <c r="CE84" s="40">
        <v>2.8169014084507045</v>
      </c>
      <c r="CF84" s="40">
        <v>3.7453183520599249</v>
      </c>
      <c r="CG84" s="40">
        <v>5.23</v>
      </c>
      <c r="CH84" s="36">
        <v>6.15</v>
      </c>
      <c r="CI84" s="105">
        <v>1228</v>
      </c>
      <c r="CJ84" s="105">
        <v>1322</v>
      </c>
      <c r="CK84" s="104">
        <v>1101</v>
      </c>
      <c r="CL84" s="104">
        <v>1046</v>
      </c>
      <c r="CM84" s="39">
        <v>12.904310544124757</v>
      </c>
      <c r="CN84" s="39">
        <v>17.03674111112543</v>
      </c>
      <c r="CO84" s="39">
        <v>11.485499687043605</v>
      </c>
      <c r="CP84" s="39">
        <v>11.032591498787047</v>
      </c>
      <c r="CQ84" s="104">
        <v>46</v>
      </c>
      <c r="CR84" s="104">
        <v>53</v>
      </c>
      <c r="CS84" s="104">
        <v>46</v>
      </c>
      <c r="CT84" s="104">
        <v>39</v>
      </c>
      <c r="CU84" s="39">
        <v>3.9</v>
      </c>
      <c r="CV84" s="39">
        <v>4.2</v>
      </c>
      <c r="CW84" s="39">
        <v>4.3</v>
      </c>
      <c r="CX84" s="39">
        <v>3.9</v>
      </c>
      <c r="CY84" s="36">
        <v>76</v>
      </c>
      <c r="CZ84" s="104">
        <v>85</v>
      </c>
      <c r="DA84" s="104">
        <v>85</v>
      </c>
      <c r="DB84" s="104">
        <v>71</v>
      </c>
      <c r="DC84" s="39">
        <v>6.6</v>
      </c>
      <c r="DD84" s="39">
        <v>7.2</v>
      </c>
      <c r="DE84" s="39">
        <v>8.1999999999999993</v>
      </c>
      <c r="DF84" s="39">
        <v>7</v>
      </c>
      <c r="DG84" s="39">
        <v>85.9</v>
      </c>
      <c r="DH84" s="39">
        <v>88.3</v>
      </c>
      <c r="DI84" s="39">
        <v>87.7</v>
      </c>
      <c r="DJ84" s="39">
        <v>87.7</v>
      </c>
      <c r="DK84" s="39">
        <v>15.7</v>
      </c>
      <c r="DL84" s="39">
        <v>14.9</v>
      </c>
      <c r="DM84" s="39">
        <v>15.6</v>
      </c>
      <c r="DN84" s="39">
        <v>14.4</v>
      </c>
      <c r="DO84" s="39">
        <v>28.3</v>
      </c>
      <c r="DP84" s="39">
        <v>32.9</v>
      </c>
      <c r="DQ84" s="39">
        <v>33.200000000000003</v>
      </c>
      <c r="DR84" s="39">
        <v>36.700000000000003</v>
      </c>
      <c r="DS84" s="39">
        <v>29.5</v>
      </c>
      <c r="DT84" s="39">
        <v>31.9</v>
      </c>
      <c r="DU84" s="39">
        <v>25.7</v>
      </c>
      <c r="DV84" s="39">
        <v>12.3</v>
      </c>
      <c r="DW84" s="45">
        <v>173</v>
      </c>
      <c r="DX84" s="45">
        <v>9</v>
      </c>
      <c r="DY84" s="15">
        <v>1</v>
      </c>
      <c r="DZ84" s="45">
        <v>1</v>
      </c>
      <c r="EA84" s="45">
        <v>14</v>
      </c>
      <c r="EB84" s="45">
        <v>4</v>
      </c>
      <c r="EC84" s="45">
        <v>6</v>
      </c>
      <c r="ED84" s="45">
        <v>7</v>
      </c>
      <c r="EE84" s="45">
        <v>2</v>
      </c>
      <c r="EF84" s="104">
        <v>861</v>
      </c>
      <c r="EG84" s="104">
        <v>836</v>
      </c>
      <c r="EH84" s="104">
        <v>797</v>
      </c>
      <c r="EI84" s="104">
        <v>843</v>
      </c>
      <c r="EJ84" s="174">
        <v>163</v>
      </c>
      <c r="EK84" s="174">
        <v>1</v>
      </c>
      <c r="EL84" s="174"/>
      <c r="EM84" s="174">
        <v>1</v>
      </c>
      <c r="EN84" s="174">
        <v>4</v>
      </c>
      <c r="EO84" s="39">
        <v>881.90099999999995</v>
      </c>
      <c r="EP84" s="39">
        <v>864.97699999999998</v>
      </c>
      <c r="EQ84" s="39">
        <v>832.98500000000001</v>
      </c>
      <c r="ER84" s="39">
        <v>887.88199999999995</v>
      </c>
      <c r="ES84" s="39">
        <v>737.11199999999997</v>
      </c>
      <c r="ET84" s="39">
        <v>692.49599999999998</v>
      </c>
      <c r="EU84" s="39">
        <v>616.31500000000005</v>
      </c>
      <c r="EV84" s="39">
        <v>628.63400000000001</v>
      </c>
      <c r="EW84" s="39">
        <v>901.1</v>
      </c>
      <c r="EX84" s="39">
        <v>831.35699999999997</v>
      </c>
      <c r="EY84" s="39">
        <v>726.76599999999996</v>
      </c>
      <c r="EZ84" s="39">
        <v>713.42700000000002</v>
      </c>
      <c r="FA84" s="39">
        <v>629.90499999999997</v>
      </c>
      <c r="FB84" s="39">
        <v>577.06600000000003</v>
      </c>
      <c r="FC84" s="39">
        <v>534.06500000000005</v>
      </c>
      <c r="FD84" s="39">
        <v>560.31399999999996</v>
      </c>
      <c r="FE84" s="44">
        <v>202</v>
      </c>
      <c r="FF84" s="44">
        <v>186</v>
      </c>
      <c r="FG84" s="44">
        <v>201</v>
      </c>
      <c r="FH84" s="44">
        <v>191</v>
      </c>
      <c r="FI84" s="39">
        <v>185.97900000000001</v>
      </c>
      <c r="FJ84" s="39">
        <v>164.65899999999999</v>
      </c>
      <c r="FK84" s="39">
        <v>164.05799999999999</v>
      </c>
      <c r="FL84" s="39">
        <v>155.78899999999999</v>
      </c>
      <c r="FM84" s="45">
        <v>254</v>
      </c>
      <c r="FN84" s="45">
        <v>203</v>
      </c>
      <c r="FO84" s="36">
        <v>197</v>
      </c>
      <c r="FP84" s="45">
        <v>172</v>
      </c>
      <c r="FQ84" s="39">
        <v>211.114</v>
      </c>
      <c r="FR84" s="39">
        <v>161.34200000000001</v>
      </c>
      <c r="FS84" s="39">
        <v>146.09200000000001</v>
      </c>
      <c r="FT84" s="39">
        <v>116.51300000000001</v>
      </c>
      <c r="FU84" s="43">
        <v>71</v>
      </c>
      <c r="FV84" s="43">
        <v>59</v>
      </c>
      <c r="FW84" s="43">
        <v>49</v>
      </c>
      <c r="FX84" s="45">
        <v>42</v>
      </c>
      <c r="FY84" s="39">
        <v>56.142000000000003</v>
      </c>
      <c r="FZ84" s="39">
        <v>43.774999999999999</v>
      </c>
      <c r="GA84" s="39">
        <v>34.887</v>
      </c>
      <c r="GB84" s="39">
        <v>31.07</v>
      </c>
      <c r="GC84" s="150">
        <v>40</v>
      </c>
      <c r="GD84" s="150">
        <v>35</v>
      </c>
      <c r="GE84" s="150">
        <v>33</v>
      </c>
      <c r="GF84" s="150">
        <v>45</v>
      </c>
      <c r="GG84" s="182">
        <v>38.552999999999997</v>
      </c>
      <c r="GH84" s="182">
        <v>34.186999999999998</v>
      </c>
      <c r="GI84" s="182">
        <v>31.946999999999999</v>
      </c>
      <c r="GJ84" s="182">
        <v>35.42</v>
      </c>
      <c r="GK84" s="182"/>
      <c r="GL84" s="114"/>
      <c r="GM84" s="114"/>
      <c r="GN84" s="114"/>
      <c r="GP84" s="114"/>
      <c r="GQ84" s="114"/>
      <c r="GR84" s="114"/>
      <c r="GS84" s="114"/>
      <c r="GU84" s="114"/>
      <c r="GV84" s="114"/>
      <c r="GW84" s="114"/>
      <c r="GX84" s="114"/>
      <c r="HE84" s="113"/>
      <c r="HF84" s="113"/>
      <c r="HG84" s="113"/>
      <c r="HH84" s="113"/>
      <c r="HI84" s="113"/>
      <c r="HJ84" s="115"/>
      <c r="HK84" s="115"/>
      <c r="HL84" s="114"/>
      <c r="HV84" s="116"/>
    </row>
    <row r="85" spans="1:230" ht="21" customHeight="1" x14ac:dyDescent="0.2">
      <c r="A85" s="128">
        <v>82</v>
      </c>
      <c r="B85" s="129" t="s">
        <v>128</v>
      </c>
      <c r="C85" s="117">
        <v>246603</v>
      </c>
      <c r="D85" s="117">
        <v>249283</v>
      </c>
      <c r="E85" s="117">
        <v>251597</v>
      </c>
      <c r="F85" s="117">
        <v>253117</v>
      </c>
      <c r="G85" s="151">
        <v>256348</v>
      </c>
      <c r="H85" s="155">
        <v>214943</v>
      </c>
      <c r="I85" s="155">
        <v>13136</v>
      </c>
      <c r="J85" s="155">
        <v>1234</v>
      </c>
      <c r="K85" s="155">
        <v>16332</v>
      </c>
      <c r="L85" s="155">
        <v>10703</v>
      </c>
      <c r="M85" s="40">
        <v>91292</v>
      </c>
      <c r="N85" s="40">
        <v>91710</v>
      </c>
      <c r="O85" s="40">
        <v>92669</v>
      </c>
      <c r="P85" s="106">
        <v>94044</v>
      </c>
      <c r="Q85" s="106">
        <v>94995</v>
      </c>
      <c r="R85" s="51">
        <v>18.399999999999999</v>
      </c>
      <c r="S85" s="51">
        <v>19.2</v>
      </c>
      <c r="T85" s="51">
        <v>20.210203897780847</v>
      </c>
      <c r="U85" s="51">
        <v>21.25255439355692</v>
      </c>
      <c r="V85" s="51">
        <v>22.001860975580659</v>
      </c>
      <c r="W85" s="38">
        <v>31.1</v>
      </c>
      <c r="X85" s="38">
        <v>30.8</v>
      </c>
      <c r="Y85" s="38">
        <v>30.894567730698778</v>
      </c>
      <c r="Z85" s="38">
        <v>30.879312417357855</v>
      </c>
      <c r="AA85" s="38">
        <v>30.901141636942754</v>
      </c>
      <c r="AB85" s="51">
        <v>49.5</v>
      </c>
      <c r="AC85" s="51">
        <v>50.1</v>
      </c>
      <c r="AD85" s="51">
        <v>51.104771628479625</v>
      </c>
      <c r="AE85" s="51">
        <v>52.131866810914772</v>
      </c>
      <c r="AF85" s="51">
        <v>52.903002612523409</v>
      </c>
      <c r="AG85" s="39">
        <v>4.5999999999999996</v>
      </c>
      <c r="AH85" s="39">
        <v>3.5599014814542516</v>
      </c>
      <c r="AI85" s="39">
        <v>3.1510590696458145</v>
      </c>
      <c r="AJ85" s="39">
        <v>3.372262667760269</v>
      </c>
      <c r="AK85" s="39">
        <v>3.107916942128198</v>
      </c>
      <c r="AL85" s="43">
        <v>5023.583333333333</v>
      </c>
      <c r="AM85" s="43">
        <v>4765.166666666667</v>
      </c>
      <c r="AN85" s="43">
        <v>4574.916666666667</v>
      </c>
      <c r="AO85" s="43">
        <v>4448.75</v>
      </c>
      <c r="AP85" s="43">
        <v>4371</v>
      </c>
      <c r="AQ85" s="190">
        <v>55750.641863107077</v>
      </c>
      <c r="AR85" s="190">
        <v>58347.584910812519</v>
      </c>
      <c r="AS85" s="190">
        <v>60748.614871188322</v>
      </c>
      <c r="AT85" s="190">
        <v>61541.622056203261</v>
      </c>
      <c r="AU85" s="190">
        <v>65591.430000000008</v>
      </c>
      <c r="AV85" s="162">
        <v>84679.35</v>
      </c>
      <c r="AW85" s="162">
        <v>84294.080000000002</v>
      </c>
      <c r="AX85" s="162">
        <v>87477.52</v>
      </c>
      <c r="AY85" s="161">
        <v>90978.87</v>
      </c>
      <c r="AZ85" s="161">
        <v>92582</v>
      </c>
      <c r="BA85" s="49">
        <v>5.8</v>
      </c>
      <c r="BB85" s="49">
        <v>6</v>
      </c>
      <c r="BC85" s="49">
        <v>5.0999999999999996</v>
      </c>
      <c r="BD85" s="49">
        <v>4.5</v>
      </c>
      <c r="BE85" s="49">
        <v>4.2</v>
      </c>
      <c r="BF85" s="42">
        <v>6.9</v>
      </c>
      <c r="BG85" s="42">
        <v>6.8</v>
      </c>
      <c r="BH85" s="42">
        <v>6</v>
      </c>
      <c r="BI85" s="42">
        <v>5.3</v>
      </c>
      <c r="BJ85" s="42">
        <v>4.9000000000000004</v>
      </c>
      <c r="BK85" s="36">
        <v>40033</v>
      </c>
      <c r="BL85" s="36">
        <v>40208</v>
      </c>
      <c r="BM85" s="36">
        <v>39545</v>
      </c>
      <c r="BN85" s="36">
        <v>45936</v>
      </c>
      <c r="BO85" s="40">
        <v>18.304898458771515</v>
      </c>
      <c r="BP85" s="40">
        <v>18.108336649423002</v>
      </c>
      <c r="BQ85" s="40">
        <v>18.037678594006827</v>
      </c>
      <c r="BR85" s="40">
        <v>20.961772901428073</v>
      </c>
      <c r="BS85" s="51">
        <v>2.9275847425873653</v>
      </c>
      <c r="BT85" s="51">
        <v>3.2804417031436528</v>
      </c>
      <c r="BU85" s="51">
        <v>3.7805032241749905</v>
      </c>
      <c r="BV85" s="51">
        <v>4.175374433995124</v>
      </c>
      <c r="BW85" s="39">
        <v>13.026752928833712</v>
      </c>
      <c r="BX85" s="39">
        <v>13.450059689614006</v>
      </c>
      <c r="BY85" s="39">
        <v>12.183588317107093</v>
      </c>
      <c r="BZ85" s="39">
        <v>14.59639498432602</v>
      </c>
      <c r="CA85" s="40">
        <v>88.542568542568546</v>
      </c>
      <c r="CB85" s="40">
        <v>89.48913681738108</v>
      </c>
      <c r="CC85" s="40">
        <v>90</v>
      </c>
      <c r="CD85" s="40">
        <v>90.24</v>
      </c>
      <c r="CE85" s="40">
        <v>2.3953823953823954</v>
      </c>
      <c r="CF85" s="40">
        <v>2.7050867391943547</v>
      </c>
      <c r="CG85" s="40">
        <v>2.5499999999999998</v>
      </c>
      <c r="CH85" s="36">
        <v>2.2999999999999998</v>
      </c>
      <c r="CI85" s="105">
        <v>13953</v>
      </c>
      <c r="CJ85" s="105">
        <v>14559</v>
      </c>
      <c r="CK85" s="104">
        <v>14151</v>
      </c>
      <c r="CL85" s="104">
        <v>14137</v>
      </c>
      <c r="CM85" s="39">
        <v>13.710556234112193</v>
      </c>
      <c r="CN85" s="39">
        <v>16.384918986991327</v>
      </c>
      <c r="CO85" s="39">
        <v>11.945451552587928</v>
      </c>
      <c r="CP85" s="39">
        <v>11.247084207143015</v>
      </c>
      <c r="CQ85" s="104">
        <v>499</v>
      </c>
      <c r="CR85" s="104">
        <v>581</v>
      </c>
      <c r="CS85" s="104">
        <v>552</v>
      </c>
      <c r="CT85" s="104">
        <v>635</v>
      </c>
      <c r="CU85" s="39">
        <v>3.7</v>
      </c>
      <c r="CV85" s="39">
        <v>4.2</v>
      </c>
      <c r="CW85" s="39">
        <v>4.0999999999999996</v>
      </c>
      <c r="CX85" s="39">
        <v>4.7</v>
      </c>
      <c r="CY85" s="36">
        <v>755</v>
      </c>
      <c r="CZ85" s="104">
        <v>968</v>
      </c>
      <c r="DA85" s="104">
        <v>887</v>
      </c>
      <c r="DB85" s="104">
        <v>899</v>
      </c>
      <c r="DC85" s="39">
        <v>6.5</v>
      </c>
      <c r="DD85" s="39">
        <v>8.1</v>
      </c>
      <c r="DE85" s="39">
        <v>6.8</v>
      </c>
      <c r="DF85" s="39">
        <v>6.6</v>
      </c>
      <c r="DG85" s="39">
        <v>91.8</v>
      </c>
      <c r="DH85" s="39">
        <v>92.3</v>
      </c>
      <c r="DI85" s="39">
        <v>89.8</v>
      </c>
      <c r="DJ85" s="39">
        <v>87.3</v>
      </c>
      <c r="DK85" s="39">
        <v>8.1999999999999993</v>
      </c>
      <c r="DL85" s="39">
        <v>6.4</v>
      </c>
      <c r="DM85" s="39">
        <v>7.4</v>
      </c>
      <c r="DN85" s="39">
        <v>6</v>
      </c>
      <c r="DO85" s="39">
        <v>16</v>
      </c>
      <c r="DP85" s="39">
        <v>20.399999999999999</v>
      </c>
      <c r="DQ85" s="39">
        <v>24.1</v>
      </c>
      <c r="DR85" s="39">
        <v>23.9</v>
      </c>
      <c r="DS85" s="39">
        <v>16.7</v>
      </c>
      <c r="DT85" s="39">
        <v>15.7</v>
      </c>
      <c r="DU85" s="39">
        <v>11.4</v>
      </c>
      <c r="DV85" s="39">
        <v>7</v>
      </c>
      <c r="DW85" s="45">
        <v>2118</v>
      </c>
      <c r="DX85" s="45">
        <v>208</v>
      </c>
      <c r="DY85" s="15">
        <v>10</v>
      </c>
      <c r="DZ85" s="45">
        <v>269</v>
      </c>
      <c r="EA85" s="45">
        <v>108</v>
      </c>
      <c r="EB85" s="45">
        <v>69</v>
      </c>
      <c r="EC85" s="45">
        <v>58</v>
      </c>
      <c r="ED85" s="45">
        <v>69</v>
      </c>
      <c r="EE85" s="45">
        <v>62</v>
      </c>
      <c r="EF85" s="104">
        <v>4892</v>
      </c>
      <c r="EG85" s="104">
        <v>5490</v>
      </c>
      <c r="EH85" s="104">
        <v>6478</v>
      </c>
      <c r="EI85" s="104">
        <v>7822</v>
      </c>
      <c r="EJ85" s="174">
        <v>1628</v>
      </c>
      <c r="EK85" s="174">
        <v>30</v>
      </c>
      <c r="EL85" s="174">
        <v>4</v>
      </c>
      <c r="EM85" s="174">
        <v>36</v>
      </c>
      <c r="EN85" s="174">
        <v>14</v>
      </c>
      <c r="EO85" s="39">
        <v>486.452</v>
      </c>
      <c r="EP85" s="39">
        <v>498.12599999999998</v>
      </c>
      <c r="EQ85" s="39">
        <v>544.05899999999997</v>
      </c>
      <c r="ER85" s="39">
        <v>621.78800000000001</v>
      </c>
      <c r="ES85" s="39">
        <v>771.11699999999996</v>
      </c>
      <c r="ET85" s="39">
        <v>729.68200000000002</v>
      </c>
      <c r="EU85" s="39">
        <v>628.37900000000002</v>
      </c>
      <c r="EV85" s="39">
        <v>598.32100000000003</v>
      </c>
      <c r="EW85" s="39">
        <v>922.06600000000003</v>
      </c>
      <c r="EX85" s="39">
        <v>828.16399999999999</v>
      </c>
      <c r="EY85" s="39">
        <v>717.12900000000002</v>
      </c>
      <c r="EZ85" s="39">
        <v>687.49099999999999</v>
      </c>
      <c r="FA85" s="39">
        <v>666.10400000000004</v>
      </c>
      <c r="FB85" s="39">
        <v>652.07799999999997</v>
      </c>
      <c r="FC85" s="39">
        <v>555.91</v>
      </c>
      <c r="FD85" s="39">
        <v>523.17499999999995</v>
      </c>
      <c r="FE85" s="44">
        <v>1323</v>
      </c>
      <c r="FF85" s="44">
        <v>1463</v>
      </c>
      <c r="FG85" s="44">
        <v>1727</v>
      </c>
      <c r="FH85" s="44">
        <v>1981</v>
      </c>
      <c r="FI85" s="39">
        <v>194.98500000000001</v>
      </c>
      <c r="FJ85" s="39">
        <v>179.29599999999999</v>
      </c>
      <c r="FK85" s="39">
        <v>159.91499999999999</v>
      </c>
      <c r="FL85" s="39">
        <v>146.66399999999999</v>
      </c>
      <c r="FM85" s="45">
        <v>990</v>
      </c>
      <c r="FN85" s="45">
        <v>1038</v>
      </c>
      <c r="FO85" s="45">
        <v>1066</v>
      </c>
      <c r="FP85" s="45">
        <v>1309</v>
      </c>
      <c r="FQ85" s="39">
        <v>162.95599999999999</v>
      </c>
      <c r="FR85" s="39">
        <v>144.001</v>
      </c>
      <c r="FS85" s="39">
        <v>104.22199999999999</v>
      </c>
      <c r="FT85" s="39">
        <v>100.22799999999999</v>
      </c>
      <c r="FU85" s="43">
        <v>340</v>
      </c>
      <c r="FV85" s="43">
        <v>323</v>
      </c>
      <c r="FW85" s="43">
        <v>313</v>
      </c>
      <c r="FX85" s="45">
        <v>392</v>
      </c>
      <c r="FY85" s="39">
        <v>58.999000000000002</v>
      </c>
      <c r="FZ85" s="39">
        <v>47.073</v>
      </c>
      <c r="GA85" s="39">
        <v>31.36</v>
      </c>
      <c r="GB85" s="39">
        <v>30.28</v>
      </c>
      <c r="GC85" s="150">
        <v>204</v>
      </c>
      <c r="GD85" s="150">
        <v>254</v>
      </c>
      <c r="GE85" s="150">
        <v>316</v>
      </c>
      <c r="GF85" s="150">
        <v>412</v>
      </c>
      <c r="GG85" s="182">
        <v>26.244</v>
      </c>
      <c r="GH85" s="182">
        <v>27.454999999999998</v>
      </c>
      <c r="GI85" s="182">
        <v>28.821999999999999</v>
      </c>
      <c r="GJ85" s="182">
        <v>32.654000000000003</v>
      </c>
      <c r="GK85" s="182"/>
      <c r="GL85" s="114"/>
      <c r="GM85" s="114"/>
      <c r="GN85" s="114"/>
      <c r="GP85" s="114"/>
      <c r="GQ85" s="114"/>
      <c r="GR85" s="114"/>
      <c r="GS85" s="114"/>
      <c r="GU85" s="114"/>
      <c r="GV85" s="114"/>
      <c r="GW85" s="114"/>
      <c r="GX85" s="114"/>
      <c r="HE85" s="113"/>
      <c r="HF85" s="113"/>
      <c r="HG85" s="113"/>
      <c r="HH85" s="113"/>
      <c r="HI85" s="113"/>
      <c r="HJ85" s="115"/>
      <c r="HK85" s="115"/>
      <c r="HL85" s="114"/>
      <c r="HV85" s="116"/>
    </row>
    <row r="86" spans="1:230" x14ac:dyDescent="0.2">
      <c r="A86" s="128">
        <v>83</v>
      </c>
      <c r="B86" s="129" t="s">
        <v>129</v>
      </c>
      <c r="C86" s="117">
        <v>11137</v>
      </c>
      <c r="D86" s="117">
        <v>11083</v>
      </c>
      <c r="E86" s="117">
        <v>10952</v>
      </c>
      <c r="F86" s="117">
        <v>10908</v>
      </c>
      <c r="G86" s="151">
        <v>10840</v>
      </c>
      <c r="H86" s="155">
        <v>7883</v>
      </c>
      <c r="I86" s="155">
        <v>111</v>
      </c>
      <c r="J86" s="155">
        <v>32</v>
      </c>
      <c r="K86" s="155">
        <v>124</v>
      </c>
      <c r="L86" s="155">
        <v>2690</v>
      </c>
      <c r="M86" s="40">
        <v>4504</v>
      </c>
      <c r="N86" s="40">
        <v>4504</v>
      </c>
      <c r="O86" s="40">
        <v>4487</v>
      </c>
      <c r="P86" s="106">
        <v>4474</v>
      </c>
      <c r="Q86" s="106">
        <v>4477</v>
      </c>
      <c r="R86" s="51">
        <v>31.4</v>
      </c>
      <c r="S86" s="51">
        <v>31.8</v>
      </c>
      <c r="T86" s="51">
        <v>32.467532467532465</v>
      </c>
      <c r="U86" s="51">
        <v>32.917174177831917</v>
      </c>
      <c r="V86" s="51">
        <v>33.574618820267979</v>
      </c>
      <c r="W86" s="38">
        <v>33.5</v>
      </c>
      <c r="X86" s="38">
        <v>34.1</v>
      </c>
      <c r="Y86" s="38">
        <v>32.920567804288737</v>
      </c>
      <c r="Z86" s="38">
        <v>33.160779537149814</v>
      </c>
      <c r="AA86" s="38">
        <v>33.374403203449873</v>
      </c>
      <c r="AB86" s="51">
        <v>64.900000000000006</v>
      </c>
      <c r="AC86" s="51">
        <v>65.900000000000006</v>
      </c>
      <c r="AD86" s="51">
        <v>65.388100271821202</v>
      </c>
      <c r="AE86" s="51">
        <v>66.077953714981732</v>
      </c>
      <c r="AF86" s="51">
        <v>66.949022023717859</v>
      </c>
      <c r="AG86" s="39">
        <v>5.7</v>
      </c>
      <c r="AH86" s="39">
        <v>4.8935132498780689</v>
      </c>
      <c r="AI86" s="39">
        <v>4.6899841017488075</v>
      </c>
      <c r="AJ86" s="39">
        <v>5.008581682009674</v>
      </c>
      <c r="AK86" s="39">
        <v>4.5350084265359278</v>
      </c>
      <c r="AL86" s="43">
        <v>429.16666666666669</v>
      </c>
      <c r="AM86" s="43">
        <v>377.66666666666669</v>
      </c>
      <c r="AN86" s="43">
        <v>354.66666666666669</v>
      </c>
      <c r="AO86" s="43">
        <v>338.58333333333331</v>
      </c>
      <c r="AP86" s="43">
        <v>335.83333333333331</v>
      </c>
      <c r="AQ86" s="190">
        <v>42587.483030138479</v>
      </c>
      <c r="AR86" s="190">
        <v>39554.948406538213</v>
      </c>
      <c r="AS86" s="190">
        <v>40590.29771689498</v>
      </c>
      <c r="AT86" s="190">
        <v>41541.444811147783</v>
      </c>
      <c r="AU86" s="190">
        <v>43438.19</v>
      </c>
      <c r="AV86" s="162">
        <v>49470.75</v>
      </c>
      <c r="AW86" s="162">
        <v>49986.560000000005</v>
      </c>
      <c r="AX86" s="162">
        <v>50604.32</v>
      </c>
      <c r="AY86" s="161">
        <v>49485.32</v>
      </c>
      <c r="AZ86" s="161">
        <v>50678</v>
      </c>
      <c r="BA86" s="49">
        <v>11.2</v>
      </c>
      <c r="BB86" s="49">
        <v>10.4</v>
      </c>
      <c r="BC86" s="49">
        <v>11.3</v>
      </c>
      <c r="BD86" s="49">
        <v>11.3</v>
      </c>
      <c r="BE86" s="49">
        <v>11.2</v>
      </c>
      <c r="BF86" s="42">
        <v>17.3</v>
      </c>
      <c r="BG86" s="42">
        <v>16.399999999999999</v>
      </c>
      <c r="BH86" s="42">
        <v>16.7</v>
      </c>
      <c r="BI86" s="42">
        <v>16.5</v>
      </c>
      <c r="BJ86" s="42">
        <v>15.7</v>
      </c>
      <c r="BK86" s="36">
        <v>1743</v>
      </c>
      <c r="BL86" s="36">
        <v>1745</v>
      </c>
      <c r="BM86" s="36">
        <v>1704</v>
      </c>
      <c r="BN86" s="36">
        <v>1866</v>
      </c>
      <c r="BO86" s="40">
        <v>53.643144004589786</v>
      </c>
      <c r="BP86" s="40">
        <v>55.873925501432666</v>
      </c>
      <c r="BQ86" s="40">
        <v>55.868544600938968</v>
      </c>
      <c r="BR86" s="40">
        <v>56.645230439442663</v>
      </c>
      <c r="BS86" s="51">
        <v>12.794033275960986</v>
      </c>
      <c r="BT86" s="51">
        <v>14.040114613180515</v>
      </c>
      <c r="BU86" s="51">
        <v>15.199530516431924</v>
      </c>
      <c r="BV86" s="51">
        <v>16.505894962486604</v>
      </c>
      <c r="BW86" s="39">
        <v>17.326448651749857</v>
      </c>
      <c r="BX86" s="39">
        <v>17.535816618911173</v>
      </c>
      <c r="BY86" s="39">
        <v>16.784037558685448</v>
      </c>
      <c r="BZ86" s="39">
        <v>17.684887459807076</v>
      </c>
      <c r="CA86" s="40">
        <v>88.235294117647058</v>
      </c>
      <c r="CB86" s="40">
        <v>86.764705882352942</v>
      </c>
      <c r="CC86" s="40">
        <v>85.29</v>
      </c>
      <c r="CD86" s="40">
        <v>87.84</v>
      </c>
      <c r="CE86" s="40">
        <v>5.2287581699346406</v>
      </c>
      <c r="CF86" s="40">
        <v>6.617647058823529</v>
      </c>
      <c r="CG86" s="40">
        <v>8.09</v>
      </c>
      <c r="CH86" s="36">
        <v>8.11</v>
      </c>
      <c r="CI86" s="105">
        <v>805</v>
      </c>
      <c r="CJ86" s="105">
        <v>797</v>
      </c>
      <c r="CK86" s="104">
        <v>763</v>
      </c>
      <c r="CL86" s="104">
        <v>769</v>
      </c>
      <c r="CM86" s="39">
        <v>13.806706114398422</v>
      </c>
      <c r="CN86" s="39">
        <v>17.786208435617052</v>
      </c>
      <c r="CO86" s="39">
        <v>13.779776417258132</v>
      </c>
      <c r="CP86" s="39">
        <v>14.00218499635834</v>
      </c>
      <c r="CQ86" s="104">
        <v>34</v>
      </c>
      <c r="CR86" s="104">
        <v>40</v>
      </c>
      <c r="CS86" s="104">
        <v>25</v>
      </c>
      <c r="CT86" s="104">
        <v>36</v>
      </c>
      <c r="CU86" s="39">
        <v>4.3</v>
      </c>
      <c r="CV86" s="39">
        <v>5.2</v>
      </c>
      <c r="CW86" s="39">
        <v>3.4</v>
      </c>
      <c r="CX86" s="39">
        <v>4.8</v>
      </c>
      <c r="CY86" s="36">
        <v>60</v>
      </c>
      <c r="CZ86" s="104">
        <v>74</v>
      </c>
      <c r="DA86" s="104">
        <v>51</v>
      </c>
      <c r="DB86" s="104">
        <v>46</v>
      </c>
      <c r="DC86" s="39">
        <v>8.1</v>
      </c>
      <c r="DD86" s="39">
        <v>10.6</v>
      </c>
      <c r="DE86" s="39">
        <v>7</v>
      </c>
      <c r="DF86" s="39">
        <v>6.2</v>
      </c>
      <c r="DG86" s="39">
        <v>76.099999999999994</v>
      </c>
      <c r="DH86" s="39">
        <v>83.1</v>
      </c>
      <c r="DI86" s="39">
        <v>84.5</v>
      </c>
      <c r="DJ86" s="39">
        <v>80.599999999999994</v>
      </c>
      <c r="DK86" s="39">
        <v>10.6</v>
      </c>
      <c r="DL86" s="39">
        <v>11.4</v>
      </c>
      <c r="DM86" s="39">
        <v>10.6</v>
      </c>
      <c r="DN86" s="39">
        <v>9.8000000000000007</v>
      </c>
      <c r="DO86" s="39">
        <v>33.5</v>
      </c>
      <c r="DP86" s="39">
        <v>38.799999999999997</v>
      </c>
      <c r="DQ86" s="39">
        <v>42.7</v>
      </c>
      <c r="DR86" s="39">
        <v>45.8</v>
      </c>
      <c r="DS86" s="39">
        <v>47.8</v>
      </c>
      <c r="DT86" s="39">
        <v>54.8</v>
      </c>
      <c r="DU86" s="39">
        <v>48.1</v>
      </c>
      <c r="DV86" s="39">
        <v>41</v>
      </c>
      <c r="DW86" s="45">
        <v>76</v>
      </c>
      <c r="DX86" s="45">
        <v>0</v>
      </c>
      <c r="DY86" s="15">
        <v>0</v>
      </c>
      <c r="DZ86" s="45">
        <v>1</v>
      </c>
      <c r="EA86" s="45">
        <v>77</v>
      </c>
      <c r="EB86" s="45">
        <v>3</v>
      </c>
      <c r="EC86" s="45">
        <v>9</v>
      </c>
      <c r="ED86" s="45">
        <v>7</v>
      </c>
      <c r="EE86" s="45">
        <v>5</v>
      </c>
      <c r="EF86" s="104">
        <v>639</v>
      </c>
      <c r="EG86" s="104">
        <v>593</v>
      </c>
      <c r="EH86" s="104">
        <v>610</v>
      </c>
      <c r="EI86" s="104">
        <v>598</v>
      </c>
      <c r="EJ86" s="174">
        <v>115</v>
      </c>
      <c r="EK86" s="174"/>
      <c r="EL86" s="174"/>
      <c r="EM86" s="174">
        <v>1</v>
      </c>
      <c r="EN86" s="174">
        <v>9</v>
      </c>
      <c r="EO86" s="39">
        <v>1076.1199999999999</v>
      </c>
      <c r="EP86" s="39">
        <v>1055.7239999999999</v>
      </c>
      <c r="EQ86" s="39">
        <v>1088.2170000000001</v>
      </c>
      <c r="ER86" s="39">
        <v>1092.038</v>
      </c>
      <c r="ES86" s="39">
        <v>730.45600000000002</v>
      </c>
      <c r="ET86" s="39">
        <v>666.43200000000002</v>
      </c>
      <c r="EU86" s="39">
        <v>669.34</v>
      </c>
      <c r="EV86" s="39">
        <v>666.52099999999996</v>
      </c>
      <c r="EW86" s="39">
        <v>841.30100000000004</v>
      </c>
      <c r="EX86" s="39">
        <v>815.798</v>
      </c>
      <c r="EY86" s="39">
        <v>845.48800000000006</v>
      </c>
      <c r="EZ86" s="39">
        <v>783.39400000000001</v>
      </c>
      <c r="FA86" s="39">
        <v>647.66999999999996</v>
      </c>
      <c r="FB86" s="39">
        <v>545.54100000000005</v>
      </c>
      <c r="FC86" s="39">
        <v>513.14</v>
      </c>
      <c r="FD86" s="39">
        <v>564.76700000000005</v>
      </c>
      <c r="FE86" s="44">
        <v>138</v>
      </c>
      <c r="FF86" s="44">
        <v>134</v>
      </c>
      <c r="FG86" s="44">
        <v>126</v>
      </c>
      <c r="FH86" s="44">
        <v>126</v>
      </c>
      <c r="FI86" s="39">
        <v>166.685</v>
      </c>
      <c r="FJ86" s="39">
        <v>167.48400000000001</v>
      </c>
      <c r="FK86" s="39">
        <v>142.50399999999999</v>
      </c>
      <c r="FL86" s="39">
        <v>148.684</v>
      </c>
      <c r="FM86" s="45">
        <v>208</v>
      </c>
      <c r="FN86" s="45">
        <v>157</v>
      </c>
      <c r="FO86" s="36">
        <v>141</v>
      </c>
      <c r="FP86" s="45">
        <v>152</v>
      </c>
      <c r="FQ86" s="39">
        <v>229.72499999999999</v>
      </c>
      <c r="FR86" s="39">
        <v>171.72399999999999</v>
      </c>
      <c r="FS86" s="39">
        <v>149.107</v>
      </c>
      <c r="FT86" s="39">
        <v>160.60499999999999</v>
      </c>
      <c r="FU86" s="43">
        <v>50</v>
      </c>
      <c r="FV86" s="43">
        <v>35</v>
      </c>
      <c r="FW86" s="43">
        <v>50</v>
      </c>
      <c r="FX86" s="45">
        <v>47</v>
      </c>
      <c r="FY86" s="39">
        <v>52.423000000000002</v>
      </c>
      <c r="FZ86" s="39">
        <v>32.773000000000003</v>
      </c>
      <c r="GA86" s="39">
        <v>51.865000000000002</v>
      </c>
      <c r="GB86" s="39">
        <v>44.091999999999999</v>
      </c>
      <c r="GC86" s="150">
        <v>29</v>
      </c>
      <c r="GD86" s="150">
        <v>29</v>
      </c>
      <c r="GE86" s="150">
        <v>29</v>
      </c>
      <c r="GF86" s="150">
        <v>27</v>
      </c>
      <c r="GG86" s="182">
        <v>41.295999999999999</v>
      </c>
      <c r="GH86" s="182">
        <v>39.868000000000002</v>
      </c>
      <c r="GI86" s="182">
        <v>43.389000000000003</v>
      </c>
      <c r="GJ86" s="182">
        <v>41.783000000000001</v>
      </c>
      <c r="GK86" s="182"/>
      <c r="GL86" s="114"/>
      <c r="GM86" s="114"/>
      <c r="GN86" s="114"/>
      <c r="GP86" s="114"/>
      <c r="GQ86" s="114"/>
      <c r="GR86" s="114"/>
      <c r="GS86" s="114"/>
      <c r="GU86" s="114"/>
      <c r="GV86" s="114"/>
      <c r="GW86" s="114"/>
      <c r="GX86" s="114"/>
      <c r="HE86" s="113"/>
      <c r="HF86" s="113"/>
      <c r="HG86" s="113"/>
      <c r="HH86" s="113"/>
      <c r="HI86" s="113"/>
      <c r="HJ86" s="115"/>
      <c r="HK86" s="115"/>
      <c r="HL86" s="114"/>
      <c r="HV86" s="116"/>
    </row>
    <row r="87" spans="1:230" x14ac:dyDescent="0.2">
      <c r="A87" s="128">
        <v>84</v>
      </c>
      <c r="B87" s="129" t="s">
        <v>130</v>
      </c>
      <c r="C87" s="117">
        <v>6557</v>
      </c>
      <c r="D87" s="117">
        <v>6495</v>
      </c>
      <c r="E87" s="117">
        <v>6396</v>
      </c>
      <c r="F87" s="117">
        <v>6358</v>
      </c>
      <c r="G87" s="151">
        <v>6324</v>
      </c>
      <c r="H87" s="155">
        <v>5935</v>
      </c>
      <c r="I87" s="155">
        <v>77</v>
      </c>
      <c r="J87" s="155">
        <v>103</v>
      </c>
      <c r="K87" s="155">
        <v>26</v>
      </c>
      <c r="L87" s="155">
        <v>183</v>
      </c>
      <c r="M87" s="40">
        <v>2703</v>
      </c>
      <c r="N87" s="40">
        <v>2694</v>
      </c>
      <c r="O87" s="40">
        <v>2691</v>
      </c>
      <c r="P87" s="106">
        <v>2694</v>
      </c>
      <c r="Q87" s="106">
        <v>2697</v>
      </c>
      <c r="R87" s="51">
        <v>29</v>
      </c>
      <c r="S87" s="51">
        <v>28.6</v>
      </c>
      <c r="T87" s="51">
        <v>29.095836412909581</v>
      </c>
      <c r="U87" s="51">
        <v>29.480198019801978</v>
      </c>
      <c r="V87" s="51">
        <v>29.497487437185931</v>
      </c>
      <c r="W87" s="38">
        <v>31</v>
      </c>
      <c r="X87" s="38">
        <v>29.3</v>
      </c>
      <c r="Y87" s="38">
        <v>28.479921162847994</v>
      </c>
      <c r="Z87" s="38">
        <v>27.8960396039604</v>
      </c>
      <c r="AA87" s="38">
        <v>29.396984924623116</v>
      </c>
      <c r="AB87" s="51">
        <v>60</v>
      </c>
      <c r="AC87" s="51">
        <v>57.9</v>
      </c>
      <c r="AD87" s="51">
        <v>57.575757575757578</v>
      </c>
      <c r="AE87" s="51">
        <v>57.376237623762371</v>
      </c>
      <c r="AF87" s="51">
        <v>58.894472361809051</v>
      </c>
      <c r="AG87" s="39">
        <v>3.8</v>
      </c>
      <c r="AH87" s="39">
        <v>3.306474020561267</v>
      </c>
      <c r="AI87" s="39">
        <v>3.3548040794417608</v>
      </c>
      <c r="AJ87" s="39">
        <v>3.3035472515570001</v>
      </c>
      <c r="AK87" s="39">
        <v>3.1451612903225805</v>
      </c>
      <c r="AL87" s="43">
        <v>378.66666666666669</v>
      </c>
      <c r="AM87" s="43">
        <v>365.58333333333331</v>
      </c>
      <c r="AN87" s="43">
        <v>322</v>
      </c>
      <c r="AO87" s="43">
        <v>324.08333333333331</v>
      </c>
      <c r="AP87" s="43">
        <v>326</v>
      </c>
      <c r="AQ87" s="190">
        <v>61052.225110873223</v>
      </c>
      <c r="AR87" s="190">
        <v>51915.870570107858</v>
      </c>
      <c r="AS87" s="190">
        <v>53877.922403003751</v>
      </c>
      <c r="AT87" s="190">
        <v>54648.320226486321</v>
      </c>
      <c r="AU87" s="190">
        <v>52643.3</v>
      </c>
      <c r="AV87" s="162">
        <v>54537</v>
      </c>
      <c r="AW87" s="162">
        <v>54962.96</v>
      </c>
      <c r="AX87" s="162">
        <v>56717.440000000002</v>
      </c>
      <c r="AY87" s="161">
        <v>58280.49</v>
      </c>
      <c r="AZ87" s="161">
        <v>58118</v>
      </c>
      <c r="BA87" s="49">
        <v>11</v>
      </c>
      <c r="BB87" s="49">
        <v>10.3</v>
      </c>
      <c r="BC87" s="49">
        <v>9.8000000000000007</v>
      </c>
      <c r="BD87" s="49">
        <v>8.9</v>
      </c>
      <c r="BE87" s="49">
        <v>9.3000000000000007</v>
      </c>
      <c r="BF87" s="42">
        <v>13.7</v>
      </c>
      <c r="BG87" s="42">
        <v>12.7</v>
      </c>
      <c r="BH87" s="42">
        <v>13.2</v>
      </c>
      <c r="BI87" s="42">
        <v>11.9</v>
      </c>
      <c r="BJ87" s="42">
        <v>12.8</v>
      </c>
      <c r="BK87" s="36">
        <v>1066</v>
      </c>
      <c r="BL87" s="36">
        <v>1098</v>
      </c>
      <c r="BM87" s="36">
        <v>1099</v>
      </c>
      <c r="BN87" s="36">
        <v>1116</v>
      </c>
      <c r="BO87" s="40">
        <v>40.431519699812384</v>
      </c>
      <c r="BP87" s="40">
        <v>41.894353369763209</v>
      </c>
      <c r="BQ87" s="40">
        <v>41.674249317561419</v>
      </c>
      <c r="BR87" s="40">
        <v>40.949820788530467</v>
      </c>
      <c r="BS87" s="51">
        <v>1.5009380863039399</v>
      </c>
      <c r="BT87" s="51">
        <v>1.1839708561020037</v>
      </c>
      <c r="BU87" s="51">
        <v>1.1828935395814377</v>
      </c>
      <c r="BV87" s="51">
        <v>0.98566308243727596</v>
      </c>
      <c r="BW87" s="39">
        <v>18.667917448405252</v>
      </c>
      <c r="BX87" s="39">
        <v>19.94535519125683</v>
      </c>
      <c r="BY87" s="39">
        <v>19.56323930846224</v>
      </c>
      <c r="BZ87" s="39">
        <v>19.802867383512545</v>
      </c>
      <c r="CA87" s="40">
        <v>88.75</v>
      </c>
      <c r="CB87" s="40">
        <v>87.5</v>
      </c>
      <c r="CC87" s="40">
        <v>88.51</v>
      </c>
      <c r="CD87" s="40">
        <v>94.44</v>
      </c>
      <c r="CE87" s="40">
        <v>3.75</v>
      </c>
      <c r="CF87" s="40">
        <v>4.8543689320388346</v>
      </c>
      <c r="CG87" s="40">
        <v>4.5999999999999996</v>
      </c>
      <c r="CH87" s="36">
        <v>4.4400000000000004</v>
      </c>
      <c r="CI87" s="105">
        <v>397</v>
      </c>
      <c r="CJ87" s="105">
        <v>394</v>
      </c>
      <c r="CK87" s="104">
        <v>348</v>
      </c>
      <c r="CL87" s="104">
        <v>373</v>
      </c>
      <c r="CM87" s="39">
        <v>11.120759685145241</v>
      </c>
      <c r="CN87" s="39">
        <v>14.790900217734064</v>
      </c>
      <c r="CO87" s="39">
        <v>10.772993220443922</v>
      </c>
      <c r="CP87" s="39">
        <v>11.609088079676313</v>
      </c>
      <c r="CQ87" s="104">
        <v>17</v>
      </c>
      <c r="CR87" s="104">
        <v>20</v>
      </c>
      <c r="CS87" s="104">
        <v>15</v>
      </c>
      <c r="CT87" s="104">
        <v>19</v>
      </c>
      <c r="CU87" s="39">
        <v>4.5999999999999996</v>
      </c>
      <c r="CV87" s="39">
        <v>5.3</v>
      </c>
      <c r="CW87" s="39">
        <v>4.4000000000000004</v>
      </c>
      <c r="CX87" s="39">
        <v>5.2</v>
      </c>
      <c r="CY87" s="36">
        <v>29</v>
      </c>
      <c r="CZ87" s="104">
        <v>32</v>
      </c>
      <c r="DA87" s="104">
        <v>24</v>
      </c>
      <c r="DB87" s="104">
        <v>28</v>
      </c>
      <c r="DC87" s="39">
        <v>7.9</v>
      </c>
      <c r="DD87" s="39">
        <v>9.1</v>
      </c>
      <c r="DE87" s="39">
        <v>7.5</v>
      </c>
      <c r="DF87" s="39">
        <v>7.7</v>
      </c>
      <c r="DG87" s="39">
        <v>88.8</v>
      </c>
      <c r="DH87" s="39">
        <v>88.1</v>
      </c>
      <c r="DI87" s="39">
        <v>91.3</v>
      </c>
      <c r="DJ87" s="39">
        <v>83.6</v>
      </c>
      <c r="DK87" s="39">
        <v>15.2</v>
      </c>
      <c r="DL87" s="39">
        <v>14.5</v>
      </c>
      <c r="DM87" s="39">
        <v>14.7</v>
      </c>
      <c r="DN87" s="39">
        <v>17.7</v>
      </c>
      <c r="DO87" s="39">
        <v>22.7</v>
      </c>
      <c r="DP87" s="39">
        <v>24.1</v>
      </c>
      <c r="DQ87" s="39">
        <v>32.5</v>
      </c>
      <c r="DR87" s="39">
        <v>36.5</v>
      </c>
      <c r="DS87" s="39">
        <v>22.9</v>
      </c>
      <c r="DT87" s="39">
        <v>16.7</v>
      </c>
      <c r="DU87" s="39">
        <v>14.2</v>
      </c>
      <c r="DV87" s="39">
        <v>7.5</v>
      </c>
      <c r="DW87" s="45">
        <v>78</v>
      </c>
      <c r="DX87" s="45">
        <v>2</v>
      </c>
      <c r="DY87" s="15">
        <v>2</v>
      </c>
      <c r="DZ87" s="45">
        <v>0</v>
      </c>
      <c r="EA87" s="45">
        <v>1</v>
      </c>
      <c r="EB87" s="45">
        <v>5</v>
      </c>
      <c r="EC87" s="45">
        <v>4</v>
      </c>
      <c r="ED87" s="45"/>
      <c r="EE87" s="45">
        <v>3</v>
      </c>
      <c r="EF87" s="104">
        <v>377</v>
      </c>
      <c r="EG87" s="104">
        <v>348</v>
      </c>
      <c r="EH87" s="104">
        <v>424</v>
      </c>
      <c r="EI87" s="104">
        <v>393</v>
      </c>
      <c r="EJ87" s="174">
        <v>79</v>
      </c>
      <c r="EK87" s="174"/>
      <c r="EL87" s="174">
        <v>1</v>
      </c>
      <c r="EM87" s="174"/>
      <c r="EN87" s="174"/>
      <c r="EO87" s="39">
        <v>1056.318</v>
      </c>
      <c r="EP87" s="39">
        <v>1023.228</v>
      </c>
      <c r="EQ87" s="39">
        <v>1289.538</v>
      </c>
      <c r="ER87" s="39">
        <v>1228.893</v>
      </c>
      <c r="ES87" s="39">
        <v>799.18100000000004</v>
      </c>
      <c r="ET87" s="39">
        <v>701.22</v>
      </c>
      <c r="EU87" s="39">
        <v>819.19100000000003</v>
      </c>
      <c r="EV87" s="39">
        <v>808.86900000000003</v>
      </c>
      <c r="EW87" s="39">
        <v>977.35900000000004</v>
      </c>
      <c r="EX87" s="39">
        <v>800.99099999999999</v>
      </c>
      <c r="EY87" s="39">
        <v>817.52700000000004</v>
      </c>
      <c r="EZ87" s="39">
        <v>819.79499999999996</v>
      </c>
      <c r="FA87" s="39">
        <v>655.93700000000001</v>
      </c>
      <c r="FB87" s="39">
        <v>598.54100000000005</v>
      </c>
      <c r="FC87" s="39">
        <v>802.81799999999998</v>
      </c>
      <c r="FD87" s="39">
        <v>797.197</v>
      </c>
      <c r="FE87" s="44">
        <v>96</v>
      </c>
      <c r="FF87" s="44">
        <v>73</v>
      </c>
      <c r="FG87" s="44">
        <v>67</v>
      </c>
      <c r="FH87" s="44">
        <v>86</v>
      </c>
      <c r="FI87" s="39">
        <v>219.49700000000001</v>
      </c>
      <c r="FJ87" s="39">
        <v>157.60400000000001</v>
      </c>
      <c r="FK87" s="39">
        <v>141.221</v>
      </c>
      <c r="FL87" s="39">
        <v>180.61500000000001</v>
      </c>
      <c r="FM87" s="45">
        <v>98</v>
      </c>
      <c r="FN87" s="45">
        <v>98</v>
      </c>
      <c r="FO87" s="36">
        <v>145</v>
      </c>
      <c r="FP87" s="45">
        <v>92</v>
      </c>
      <c r="FQ87" s="39">
        <v>199.999</v>
      </c>
      <c r="FR87" s="39">
        <v>182.68600000000001</v>
      </c>
      <c r="FS87" s="39">
        <v>271.16699999999997</v>
      </c>
      <c r="FT87" s="39">
        <v>182.27600000000001</v>
      </c>
      <c r="FU87" s="43">
        <v>37</v>
      </c>
      <c r="FV87" s="43">
        <v>31</v>
      </c>
      <c r="FW87" s="43">
        <v>34</v>
      </c>
      <c r="FX87" s="45">
        <v>25</v>
      </c>
      <c r="FY87" s="39">
        <v>67.864000000000004</v>
      </c>
      <c r="FZ87" s="39">
        <v>52.082000000000001</v>
      </c>
      <c r="GA87" s="39">
        <v>57.015000000000001</v>
      </c>
      <c r="GB87" s="39">
        <v>48.481000000000002</v>
      </c>
      <c r="GC87" s="150">
        <v>13</v>
      </c>
      <c r="GD87" s="150">
        <v>11</v>
      </c>
      <c r="GE87" s="150">
        <v>15</v>
      </c>
      <c r="GF87" s="150">
        <v>11</v>
      </c>
      <c r="GG87" s="182">
        <v>27.827999999999999</v>
      </c>
      <c r="GH87" s="182">
        <v>31.635000000000002</v>
      </c>
      <c r="GI87" s="182">
        <v>35.31</v>
      </c>
      <c r="GJ87" s="182">
        <v>30.995999999999999</v>
      </c>
      <c r="GK87" s="182"/>
      <c r="GL87" s="114"/>
      <c r="GM87" s="114"/>
      <c r="GN87" s="114"/>
      <c r="GP87" s="114"/>
      <c r="GQ87" s="114"/>
      <c r="GR87" s="114"/>
      <c r="GS87" s="114"/>
      <c r="GU87" s="114"/>
      <c r="GV87" s="114"/>
      <c r="GW87" s="114"/>
      <c r="GX87" s="114"/>
      <c r="HE87" s="113"/>
      <c r="HF87" s="113"/>
      <c r="HG87" s="113"/>
      <c r="HH87" s="113"/>
      <c r="HI87" s="113"/>
      <c r="HJ87" s="115"/>
      <c r="HK87" s="115"/>
      <c r="HL87" s="114"/>
      <c r="HV87" s="116"/>
    </row>
    <row r="88" spans="1:230" x14ac:dyDescent="0.2">
      <c r="A88" s="128">
        <v>85</v>
      </c>
      <c r="B88" s="129" t="s">
        <v>131</v>
      </c>
      <c r="C88" s="117">
        <v>51232</v>
      </c>
      <c r="D88" s="117">
        <v>51097</v>
      </c>
      <c r="E88" s="117">
        <v>50885</v>
      </c>
      <c r="F88" s="117">
        <v>50948</v>
      </c>
      <c r="G88" s="151">
        <v>50873</v>
      </c>
      <c r="H88" s="155">
        <v>46656</v>
      </c>
      <c r="I88" s="155">
        <v>1119</v>
      </c>
      <c r="J88" s="155">
        <v>214</v>
      </c>
      <c r="K88" s="155">
        <v>1394</v>
      </c>
      <c r="L88" s="155">
        <v>1490</v>
      </c>
      <c r="M88" s="40">
        <v>19698</v>
      </c>
      <c r="N88" s="40">
        <v>19714</v>
      </c>
      <c r="O88" s="40">
        <v>19835</v>
      </c>
      <c r="P88" s="106">
        <v>19824</v>
      </c>
      <c r="Q88" s="106">
        <v>19863</v>
      </c>
      <c r="R88" s="51">
        <v>20.7</v>
      </c>
      <c r="S88" s="51">
        <v>21.5</v>
      </c>
      <c r="T88" s="51">
        <v>22.25168552004288</v>
      </c>
      <c r="U88" s="51">
        <v>22.845169328349758</v>
      </c>
      <c r="V88" s="51">
        <v>23.842612450315976</v>
      </c>
      <c r="W88" s="38">
        <v>21.2</v>
      </c>
      <c r="X88" s="38">
        <v>21.1</v>
      </c>
      <c r="Y88" s="38">
        <v>21.292561144178961</v>
      </c>
      <c r="Z88" s="38">
        <v>21.418054139766678</v>
      </c>
      <c r="AA88" s="38">
        <v>21.629350032884389</v>
      </c>
      <c r="AB88" s="51">
        <v>41.9</v>
      </c>
      <c r="AC88" s="51">
        <v>42.6</v>
      </c>
      <c r="AD88" s="51">
        <v>43.544246664221845</v>
      </c>
      <c r="AE88" s="51">
        <v>44.263223468116436</v>
      </c>
      <c r="AF88" s="51">
        <v>45.471962483200365</v>
      </c>
      <c r="AG88" s="39">
        <v>4.5999999999999996</v>
      </c>
      <c r="AH88" s="39">
        <v>3.6450187011220674</v>
      </c>
      <c r="AI88" s="39">
        <v>3.3177917426853165</v>
      </c>
      <c r="AJ88" s="39">
        <v>3.5595714823561622</v>
      </c>
      <c r="AK88" s="39">
        <v>3.202458176852168</v>
      </c>
      <c r="AL88" s="43">
        <v>1892.9166666666667</v>
      </c>
      <c r="AM88" s="43">
        <v>1691.6666666666667</v>
      </c>
      <c r="AN88" s="43">
        <v>1544</v>
      </c>
      <c r="AO88" s="43">
        <v>1487.5833333333333</v>
      </c>
      <c r="AP88" s="43">
        <v>1476.5833333333333</v>
      </c>
      <c r="AQ88" s="190">
        <v>41548.884041600126</v>
      </c>
      <c r="AR88" s="190">
        <v>44084.56762836186</v>
      </c>
      <c r="AS88" s="190">
        <v>45634.295137321111</v>
      </c>
      <c r="AT88" s="190">
        <v>45684.74954855931</v>
      </c>
      <c r="AU88" s="190">
        <v>48987.83</v>
      </c>
      <c r="AV88" s="162">
        <v>52240.65</v>
      </c>
      <c r="AW88" s="162">
        <v>51621.440000000002</v>
      </c>
      <c r="AX88" s="162">
        <v>51339.6</v>
      </c>
      <c r="AY88" s="161">
        <v>55998.01</v>
      </c>
      <c r="AZ88" s="161">
        <v>55577</v>
      </c>
      <c r="BA88" s="49">
        <v>14.4</v>
      </c>
      <c r="BB88" s="49">
        <v>15.8</v>
      </c>
      <c r="BC88" s="49">
        <v>12.7</v>
      </c>
      <c r="BD88" s="49">
        <v>11.5</v>
      </c>
      <c r="BE88" s="49">
        <v>13.8</v>
      </c>
      <c r="BF88" s="42">
        <v>14</v>
      </c>
      <c r="BG88" s="42">
        <v>14.5</v>
      </c>
      <c r="BH88" s="42">
        <v>12.7</v>
      </c>
      <c r="BI88" s="42">
        <v>11.7</v>
      </c>
      <c r="BJ88" s="42">
        <v>12.7</v>
      </c>
      <c r="BK88" s="36">
        <v>5445</v>
      </c>
      <c r="BL88" s="36">
        <v>5399</v>
      </c>
      <c r="BM88" s="36">
        <v>5137</v>
      </c>
      <c r="BN88" s="36">
        <v>5251</v>
      </c>
      <c r="BO88" s="40">
        <v>36.161616161616159</v>
      </c>
      <c r="BP88" s="40">
        <v>36.599370253750692</v>
      </c>
      <c r="BQ88" s="40">
        <v>36.869768347284406</v>
      </c>
      <c r="BR88" s="40">
        <v>36.640639878118449</v>
      </c>
      <c r="BS88" s="51">
        <v>2.9201101928374658</v>
      </c>
      <c r="BT88" s="51">
        <v>2.7968142248564547</v>
      </c>
      <c r="BU88" s="51">
        <v>2.8031925248199339</v>
      </c>
      <c r="BV88" s="51">
        <v>2.9327747095791281</v>
      </c>
      <c r="BW88" s="39">
        <v>17.943067033976124</v>
      </c>
      <c r="BX88" s="39">
        <v>18.20707538433043</v>
      </c>
      <c r="BY88" s="39">
        <v>15.962624099669068</v>
      </c>
      <c r="BZ88" s="39">
        <v>19.577223386021711</v>
      </c>
      <c r="CA88" s="40">
        <v>85.365853658536579</v>
      </c>
      <c r="CB88" s="40">
        <v>88.317757009345797</v>
      </c>
      <c r="CC88" s="40">
        <v>86.53</v>
      </c>
      <c r="CD88" s="40">
        <v>83.47</v>
      </c>
      <c r="CE88" s="40">
        <v>4.1463414634146343</v>
      </c>
      <c r="CF88" s="40">
        <v>5.5684454756380513</v>
      </c>
      <c r="CG88" s="40">
        <v>3.42</v>
      </c>
      <c r="CH88" s="36">
        <v>4.8</v>
      </c>
      <c r="CI88" s="105">
        <v>2690</v>
      </c>
      <c r="CJ88" s="105">
        <v>2701</v>
      </c>
      <c r="CK88" s="104">
        <v>2408</v>
      </c>
      <c r="CL88" s="104">
        <v>2403</v>
      </c>
      <c r="CM88" s="39">
        <v>10.979681466787483</v>
      </c>
      <c r="CN88" s="39">
        <v>13.682045670982513</v>
      </c>
      <c r="CO88" s="39">
        <v>9.4884212102465497</v>
      </c>
      <c r="CP88" s="39">
        <v>9.4222361636638112</v>
      </c>
      <c r="CQ88" s="104">
        <v>97</v>
      </c>
      <c r="CR88" s="104">
        <v>110</v>
      </c>
      <c r="CS88" s="104">
        <v>92</v>
      </c>
      <c r="CT88" s="104">
        <v>110</v>
      </c>
      <c r="CU88" s="39">
        <v>3.7</v>
      </c>
      <c r="CV88" s="39">
        <v>4.2</v>
      </c>
      <c r="CW88" s="39">
        <v>4</v>
      </c>
      <c r="CX88" s="39">
        <v>4.8</v>
      </c>
      <c r="CY88" s="36">
        <v>173</v>
      </c>
      <c r="CZ88" s="104">
        <v>158</v>
      </c>
      <c r="DA88" s="104">
        <v>127</v>
      </c>
      <c r="DB88" s="104">
        <v>152</v>
      </c>
      <c r="DC88" s="39">
        <v>7.4</v>
      </c>
      <c r="DD88" s="39">
        <v>7.3</v>
      </c>
      <c r="DE88" s="39">
        <v>5.9</v>
      </c>
      <c r="DF88" s="39">
        <v>6.6</v>
      </c>
      <c r="DG88" s="39">
        <v>89.1</v>
      </c>
      <c r="DH88" s="39">
        <v>87.4</v>
      </c>
      <c r="DI88" s="39">
        <v>87</v>
      </c>
      <c r="DJ88" s="39">
        <v>85</v>
      </c>
      <c r="DK88" s="39">
        <v>11</v>
      </c>
      <c r="DL88" s="39">
        <v>9.6</v>
      </c>
      <c r="DM88" s="39">
        <v>12.3</v>
      </c>
      <c r="DN88" s="39">
        <v>11.6</v>
      </c>
      <c r="DO88" s="39">
        <v>25.1</v>
      </c>
      <c r="DP88" s="39">
        <v>27.5</v>
      </c>
      <c r="DQ88" s="39">
        <v>32.4</v>
      </c>
      <c r="DR88" s="39">
        <v>29.8</v>
      </c>
      <c r="DS88" s="39">
        <v>15.2</v>
      </c>
      <c r="DT88" s="39">
        <v>13.3</v>
      </c>
      <c r="DU88" s="39">
        <v>8.1</v>
      </c>
      <c r="DV88" s="39">
        <v>7.4</v>
      </c>
      <c r="DW88" s="45">
        <v>400</v>
      </c>
      <c r="DX88" s="45">
        <v>15</v>
      </c>
      <c r="DY88" s="15">
        <v>0</v>
      </c>
      <c r="DZ88" s="45">
        <v>15</v>
      </c>
      <c r="EA88" s="45">
        <v>18</v>
      </c>
      <c r="EB88" s="45">
        <v>17</v>
      </c>
      <c r="EC88" s="45">
        <v>18</v>
      </c>
      <c r="ED88" s="45">
        <v>13</v>
      </c>
      <c r="EE88" s="45">
        <v>15</v>
      </c>
      <c r="EF88" s="104">
        <v>2119</v>
      </c>
      <c r="EG88" s="104">
        <v>1949</v>
      </c>
      <c r="EH88" s="104">
        <v>1992</v>
      </c>
      <c r="EI88" s="104">
        <v>2140</v>
      </c>
      <c r="EJ88" s="174">
        <v>432</v>
      </c>
      <c r="EK88" s="174">
        <v>6</v>
      </c>
      <c r="EL88" s="174"/>
      <c r="EM88" s="174">
        <v>2</v>
      </c>
      <c r="EN88" s="174">
        <v>3</v>
      </c>
      <c r="EO88" s="39">
        <v>847.85400000000004</v>
      </c>
      <c r="EP88" s="39">
        <v>791.05399999999997</v>
      </c>
      <c r="EQ88" s="39">
        <v>774.17899999999997</v>
      </c>
      <c r="ER88" s="39">
        <v>841.11199999999997</v>
      </c>
      <c r="ES88" s="39">
        <v>761.89499999999998</v>
      </c>
      <c r="ET88" s="39">
        <v>669.75900000000001</v>
      </c>
      <c r="EU88" s="39">
        <v>673.63499999999999</v>
      </c>
      <c r="EV88" s="39">
        <v>678.53</v>
      </c>
      <c r="EW88" s="39">
        <v>982.05600000000004</v>
      </c>
      <c r="EX88" s="39">
        <v>800.99900000000002</v>
      </c>
      <c r="EY88" s="39">
        <v>802.31600000000003</v>
      </c>
      <c r="EZ88" s="39">
        <v>824.82600000000002</v>
      </c>
      <c r="FA88" s="39">
        <v>610.66999999999996</v>
      </c>
      <c r="FB88" s="39">
        <v>567.89200000000005</v>
      </c>
      <c r="FC88" s="39">
        <v>580.09</v>
      </c>
      <c r="FD88" s="39">
        <v>565.41899999999998</v>
      </c>
      <c r="FE88" s="44">
        <v>500</v>
      </c>
      <c r="FF88" s="44">
        <v>475</v>
      </c>
      <c r="FG88" s="44">
        <v>488</v>
      </c>
      <c r="FH88" s="44">
        <v>493</v>
      </c>
      <c r="FI88" s="39">
        <v>194.28700000000001</v>
      </c>
      <c r="FJ88" s="39">
        <v>178.56200000000001</v>
      </c>
      <c r="FK88" s="39">
        <v>170.09700000000001</v>
      </c>
      <c r="FL88" s="39">
        <v>159.08000000000001</v>
      </c>
      <c r="FM88" s="45">
        <v>633</v>
      </c>
      <c r="FN88" s="45">
        <v>511</v>
      </c>
      <c r="FO88" s="36">
        <v>454</v>
      </c>
      <c r="FP88" s="45">
        <v>457</v>
      </c>
      <c r="FQ88" s="39">
        <v>221.87200000000001</v>
      </c>
      <c r="FR88" s="39">
        <v>167.77600000000001</v>
      </c>
      <c r="FS88" s="39">
        <v>149.078</v>
      </c>
      <c r="FT88" s="39">
        <v>137.553</v>
      </c>
      <c r="FU88" s="43">
        <v>147</v>
      </c>
      <c r="FV88" s="43">
        <v>112</v>
      </c>
      <c r="FW88" s="43">
        <v>108</v>
      </c>
      <c r="FX88" s="45">
        <v>103</v>
      </c>
      <c r="FY88" s="39">
        <v>50.554000000000002</v>
      </c>
      <c r="FZ88" s="39">
        <v>35.688000000000002</v>
      </c>
      <c r="GA88" s="39">
        <v>34.857999999999997</v>
      </c>
      <c r="GB88" s="39">
        <v>31.443999999999999</v>
      </c>
      <c r="GC88" s="150">
        <v>88</v>
      </c>
      <c r="GD88" s="150">
        <v>98</v>
      </c>
      <c r="GE88" s="150">
        <v>117</v>
      </c>
      <c r="GF88" s="150">
        <v>126</v>
      </c>
      <c r="GG88" s="182">
        <v>33.543999999999997</v>
      </c>
      <c r="GH88" s="182">
        <v>38.823</v>
      </c>
      <c r="GI88" s="182">
        <v>42.451000000000001</v>
      </c>
      <c r="GJ88" s="182">
        <v>44.924999999999997</v>
      </c>
      <c r="GK88" s="182"/>
      <c r="GL88" s="114"/>
      <c r="GM88" s="114"/>
      <c r="GN88" s="114"/>
      <c r="GP88" s="114"/>
      <c r="GQ88" s="114"/>
      <c r="GR88" s="114"/>
      <c r="GS88" s="114"/>
      <c r="GU88" s="114"/>
      <c r="GV88" s="114"/>
      <c r="GW88" s="114"/>
      <c r="GX88" s="114"/>
      <c r="HE88" s="113"/>
      <c r="HF88" s="113"/>
      <c r="HG88" s="113"/>
      <c r="HH88" s="113"/>
      <c r="HI88" s="113"/>
      <c r="HJ88" s="115"/>
      <c r="HK88" s="115"/>
      <c r="HL88" s="114"/>
      <c r="HV88" s="116"/>
    </row>
    <row r="89" spans="1:230" x14ac:dyDescent="0.2">
      <c r="A89" s="128">
        <v>86</v>
      </c>
      <c r="B89" s="129" t="s">
        <v>132</v>
      </c>
      <c r="C89" s="117">
        <v>128470</v>
      </c>
      <c r="D89" s="117">
        <v>129918</v>
      </c>
      <c r="E89" s="117">
        <v>131311</v>
      </c>
      <c r="F89" s="117">
        <v>132550</v>
      </c>
      <c r="G89" s="151">
        <v>134286</v>
      </c>
      <c r="H89" s="155">
        <v>125377</v>
      </c>
      <c r="I89" s="155">
        <v>2293</v>
      </c>
      <c r="J89" s="155">
        <v>529</v>
      </c>
      <c r="K89" s="155">
        <v>2109</v>
      </c>
      <c r="L89" s="155">
        <v>3978</v>
      </c>
      <c r="M89" s="40">
        <v>45659</v>
      </c>
      <c r="N89" s="40">
        <v>46213</v>
      </c>
      <c r="O89" s="40">
        <v>46712</v>
      </c>
      <c r="P89" s="106">
        <v>47134</v>
      </c>
      <c r="Q89" s="106">
        <v>47767</v>
      </c>
      <c r="R89" s="51">
        <v>16.899999999999999</v>
      </c>
      <c r="S89" s="51">
        <v>17.399999999999999</v>
      </c>
      <c r="T89" s="51">
        <v>18.009087154068567</v>
      </c>
      <c r="U89" s="51">
        <v>18.694831608191588</v>
      </c>
      <c r="V89" s="51">
        <v>19.140706427330631</v>
      </c>
      <c r="W89" s="38">
        <v>37.700000000000003</v>
      </c>
      <c r="X89" s="38">
        <v>37.1</v>
      </c>
      <c r="Y89" s="38">
        <v>36.957573611848701</v>
      </c>
      <c r="Z89" s="38">
        <v>36.685148932678445</v>
      </c>
      <c r="AA89" s="38">
        <v>36.372900984365955</v>
      </c>
      <c r="AB89" s="51">
        <v>54.5</v>
      </c>
      <c r="AC89" s="51">
        <v>54.5</v>
      </c>
      <c r="AD89" s="51">
        <v>54.966660765917275</v>
      </c>
      <c r="AE89" s="51">
        <v>55.379980540870037</v>
      </c>
      <c r="AF89" s="51">
        <v>55.513607411696583</v>
      </c>
      <c r="AG89" s="39">
        <v>5.4</v>
      </c>
      <c r="AH89" s="39">
        <v>4.1251898093470558</v>
      </c>
      <c r="AI89" s="39">
        <v>3.668999930695128</v>
      </c>
      <c r="AJ89" s="39">
        <v>3.895996127515386</v>
      </c>
      <c r="AK89" s="39">
        <v>3.6403817994468248</v>
      </c>
      <c r="AL89" s="43">
        <v>3146.0833333333335</v>
      </c>
      <c r="AM89" s="43">
        <v>2731.0833333333335</v>
      </c>
      <c r="AN89" s="43">
        <v>2465.1666666666665</v>
      </c>
      <c r="AO89" s="43">
        <v>2286.5</v>
      </c>
      <c r="AP89" s="43">
        <v>2160.3333333333335</v>
      </c>
      <c r="AQ89" s="190">
        <v>42964.795242842454</v>
      </c>
      <c r="AR89" s="190">
        <v>44226.225947858191</v>
      </c>
      <c r="AS89" s="190">
        <v>46094.554264599443</v>
      </c>
      <c r="AT89" s="190">
        <v>46602.787099207846</v>
      </c>
      <c r="AU89" s="190">
        <v>49004.31</v>
      </c>
      <c r="AV89" s="162">
        <v>75826.8</v>
      </c>
      <c r="AW89" s="162">
        <v>74878.960000000006</v>
      </c>
      <c r="AX89" s="162">
        <v>79548.56</v>
      </c>
      <c r="AY89" s="161">
        <v>78699.210000000006</v>
      </c>
      <c r="AZ89" s="161">
        <v>80805</v>
      </c>
      <c r="BA89" s="49">
        <v>7.1</v>
      </c>
      <c r="BB89" s="49">
        <v>6</v>
      </c>
      <c r="BC89" s="49">
        <v>5.0999999999999996</v>
      </c>
      <c r="BD89" s="49">
        <v>5.3</v>
      </c>
      <c r="BE89" s="49">
        <v>5.4</v>
      </c>
      <c r="BF89" s="42">
        <v>8.1999999999999993</v>
      </c>
      <c r="BG89" s="42">
        <v>6.7</v>
      </c>
      <c r="BH89" s="42">
        <v>6.1</v>
      </c>
      <c r="BI89" s="42">
        <v>5.7</v>
      </c>
      <c r="BJ89" s="42">
        <v>5.2</v>
      </c>
      <c r="BK89" s="36">
        <v>27057</v>
      </c>
      <c r="BL89" s="36">
        <v>27573</v>
      </c>
      <c r="BM89" s="36">
        <v>27363</v>
      </c>
      <c r="BN89" s="36">
        <v>27537</v>
      </c>
      <c r="BO89" s="40">
        <v>22.241933695531657</v>
      </c>
      <c r="BP89" s="40">
        <v>21.967141769121966</v>
      </c>
      <c r="BQ89" s="40">
        <v>20.915104337974636</v>
      </c>
      <c r="BR89" s="40">
        <v>20.474270980862112</v>
      </c>
      <c r="BS89" s="51">
        <v>1.7407694866393171</v>
      </c>
      <c r="BT89" s="51">
        <v>1.603017444601603</v>
      </c>
      <c r="BU89" s="51">
        <v>1.5531922669297957</v>
      </c>
      <c r="BV89" s="51">
        <v>1.4598540145985401</v>
      </c>
      <c r="BW89" s="39">
        <v>13.837454263222087</v>
      </c>
      <c r="BX89" s="39">
        <v>14.267580604214267</v>
      </c>
      <c r="BY89" s="39">
        <v>12.984687351533092</v>
      </c>
      <c r="BZ89" s="39">
        <v>15.168682136761449</v>
      </c>
      <c r="CA89" s="40">
        <v>91.242038216560502</v>
      </c>
      <c r="CB89" s="40">
        <v>89.831430125067968</v>
      </c>
      <c r="CC89" s="40">
        <v>89.74</v>
      </c>
      <c r="CD89" s="40">
        <v>89.54</v>
      </c>
      <c r="CE89" s="40">
        <v>2.335456475583864</v>
      </c>
      <c r="CF89" s="40">
        <v>3.3980582524271843</v>
      </c>
      <c r="CG89" s="40">
        <v>3.65</v>
      </c>
      <c r="CH89" s="36">
        <v>2.97</v>
      </c>
      <c r="CI89" s="105">
        <v>7379</v>
      </c>
      <c r="CJ89" s="105">
        <v>10172</v>
      </c>
      <c r="CK89" s="104">
        <v>9630</v>
      </c>
      <c r="CL89" s="104">
        <v>8840</v>
      </c>
      <c r="CM89" s="39">
        <v>16.224214733935192</v>
      </c>
      <c r="CN89" s="39">
        <v>22.615601474505201</v>
      </c>
      <c r="CO89" s="39">
        <v>15.530229115228495</v>
      </c>
      <c r="CP89" s="39">
        <v>13.46462869458597</v>
      </c>
      <c r="CQ89" s="104">
        <v>304</v>
      </c>
      <c r="CR89" s="104">
        <v>385</v>
      </c>
      <c r="CS89" s="104">
        <v>359</v>
      </c>
      <c r="CT89" s="104">
        <v>350</v>
      </c>
      <c r="CU89" s="39">
        <v>4.3</v>
      </c>
      <c r="CV89" s="39">
        <v>3.9</v>
      </c>
      <c r="CW89" s="39">
        <v>3.9</v>
      </c>
      <c r="CX89" s="39">
        <v>4.0999999999999996</v>
      </c>
      <c r="CY89" s="36">
        <v>517</v>
      </c>
      <c r="CZ89" s="104">
        <v>653</v>
      </c>
      <c r="DA89" s="104">
        <v>595</v>
      </c>
      <c r="DB89" s="104">
        <v>595</v>
      </c>
      <c r="DC89" s="39">
        <v>8.1999999999999993</v>
      </c>
      <c r="DD89" s="39">
        <v>8</v>
      </c>
      <c r="DE89" s="39">
        <v>7.1</v>
      </c>
      <c r="DF89" s="39">
        <v>7</v>
      </c>
      <c r="DG89" s="39">
        <v>91.7</v>
      </c>
      <c r="DH89" s="39">
        <v>89.9</v>
      </c>
      <c r="DI89" s="39">
        <v>90</v>
      </c>
      <c r="DJ89" s="39">
        <v>88</v>
      </c>
      <c r="DK89" s="39">
        <v>11.9</v>
      </c>
      <c r="DL89" s="39">
        <v>9</v>
      </c>
      <c r="DM89" s="39">
        <v>9.3000000000000007</v>
      </c>
      <c r="DN89" s="39">
        <v>8.6999999999999993</v>
      </c>
      <c r="DO89" s="39">
        <v>16.899999999999999</v>
      </c>
      <c r="DP89" s="39">
        <v>17.2</v>
      </c>
      <c r="DQ89" s="39">
        <v>19.899999999999999</v>
      </c>
      <c r="DR89" s="39">
        <v>21.1</v>
      </c>
      <c r="DS89" s="39">
        <v>24.1</v>
      </c>
      <c r="DT89" s="39">
        <v>22.2</v>
      </c>
      <c r="DU89" s="39">
        <v>17.600000000000001</v>
      </c>
      <c r="DV89" s="39">
        <v>9.9</v>
      </c>
      <c r="DW89" s="45">
        <v>1564</v>
      </c>
      <c r="DX89" s="45">
        <v>37</v>
      </c>
      <c r="DY89" s="15">
        <v>3</v>
      </c>
      <c r="DZ89" s="45">
        <v>32</v>
      </c>
      <c r="EA89" s="45">
        <v>59</v>
      </c>
      <c r="EB89" s="45">
        <v>28</v>
      </c>
      <c r="EC89" s="45">
        <v>41</v>
      </c>
      <c r="ED89" s="45">
        <v>44</v>
      </c>
      <c r="EE89" s="45">
        <v>38</v>
      </c>
      <c r="EF89" s="104">
        <v>2743</v>
      </c>
      <c r="EG89" s="104">
        <v>2933</v>
      </c>
      <c r="EH89" s="104">
        <v>3272</v>
      </c>
      <c r="EI89" s="104">
        <v>3860</v>
      </c>
      <c r="EJ89" s="174">
        <v>841</v>
      </c>
      <c r="EK89" s="174">
        <v>6</v>
      </c>
      <c r="EL89" s="174">
        <v>3</v>
      </c>
      <c r="EM89" s="174">
        <v>5</v>
      </c>
      <c r="EN89" s="174">
        <v>1</v>
      </c>
      <c r="EO89" s="39">
        <v>609.65</v>
      </c>
      <c r="EP89" s="39">
        <v>529.75699999999995</v>
      </c>
      <c r="EQ89" s="39">
        <v>524.779</v>
      </c>
      <c r="ER89" s="39">
        <v>587.91700000000003</v>
      </c>
      <c r="ES89" s="39">
        <v>806.851</v>
      </c>
      <c r="ET89" s="39">
        <v>715.50300000000004</v>
      </c>
      <c r="EU89" s="39">
        <v>661.88400000000001</v>
      </c>
      <c r="EV89" s="39">
        <v>643.46199999999999</v>
      </c>
      <c r="EW89" s="39">
        <v>981.10599999999999</v>
      </c>
      <c r="EX89" s="39">
        <v>849.654</v>
      </c>
      <c r="EY89" s="39">
        <v>756.31899999999996</v>
      </c>
      <c r="EZ89" s="39">
        <v>720.13900000000001</v>
      </c>
      <c r="FA89" s="39">
        <v>684.38699999999994</v>
      </c>
      <c r="FB89" s="39">
        <v>611.90499999999997</v>
      </c>
      <c r="FC89" s="39">
        <v>583.99599999999998</v>
      </c>
      <c r="FD89" s="39">
        <v>576.23299999999995</v>
      </c>
      <c r="FE89" s="44">
        <v>618</v>
      </c>
      <c r="FF89" s="44">
        <v>736</v>
      </c>
      <c r="FG89" s="44">
        <v>853</v>
      </c>
      <c r="FH89" s="44">
        <v>947</v>
      </c>
      <c r="FI89" s="39">
        <v>180.72399999999999</v>
      </c>
      <c r="FJ89" s="39">
        <v>180.84</v>
      </c>
      <c r="FK89" s="39">
        <v>169.51499999999999</v>
      </c>
      <c r="FL89" s="39">
        <v>152.172</v>
      </c>
      <c r="FM89" s="45">
        <v>605</v>
      </c>
      <c r="FN89" s="45">
        <v>568</v>
      </c>
      <c r="FO89" s="36">
        <v>551</v>
      </c>
      <c r="FP89" s="45">
        <v>667</v>
      </c>
      <c r="FQ89" s="39">
        <v>181.33199999999999</v>
      </c>
      <c r="FR89" s="39">
        <v>141.578</v>
      </c>
      <c r="FS89" s="39">
        <v>113.45699999999999</v>
      </c>
      <c r="FT89" s="39">
        <v>111.88</v>
      </c>
      <c r="FU89" s="43">
        <v>231</v>
      </c>
      <c r="FV89" s="43">
        <v>162</v>
      </c>
      <c r="FW89" s="43">
        <v>193</v>
      </c>
      <c r="FX89" s="45">
        <v>164</v>
      </c>
      <c r="FY89" s="39">
        <v>69.876999999999995</v>
      </c>
      <c r="FZ89" s="39">
        <v>42.024000000000001</v>
      </c>
      <c r="GA89" s="39">
        <v>40.530999999999999</v>
      </c>
      <c r="GB89" s="39">
        <v>28.829000000000001</v>
      </c>
      <c r="GC89" s="150">
        <v>159</v>
      </c>
      <c r="GD89" s="150">
        <v>199</v>
      </c>
      <c r="GE89" s="150">
        <v>210</v>
      </c>
      <c r="GF89" s="150">
        <v>230</v>
      </c>
      <c r="GG89" s="182">
        <v>42.396999999999998</v>
      </c>
      <c r="GH89" s="182">
        <v>40.838000000000001</v>
      </c>
      <c r="GI89" s="182">
        <v>39.667000000000002</v>
      </c>
      <c r="GJ89" s="182">
        <v>37.941000000000003</v>
      </c>
      <c r="GK89" s="182"/>
      <c r="GL89" s="114"/>
      <c r="GM89" s="114"/>
      <c r="GN89" s="114"/>
      <c r="GP89" s="114"/>
      <c r="GQ89" s="114"/>
      <c r="GR89" s="114"/>
      <c r="GS89" s="114"/>
      <c r="GU89" s="114"/>
      <c r="GV89" s="114"/>
      <c r="GW89" s="114"/>
      <c r="GX89" s="114"/>
      <c r="HE89" s="113"/>
      <c r="HF89" s="113"/>
      <c r="HG89" s="113"/>
      <c r="HH89" s="113"/>
      <c r="HI89" s="113"/>
      <c r="HJ89" s="115"/>
      <c r="HK89" s="115"/>
      <c r="HL89" s="114"/>
      <c r="HV89" s="116"/>
    </row>
    <row r="90" spans="1:230" ht="21" customHeight="1" x14ac:dyDescent="0.2">
      <c r="A90" s="128">
        <v>87</v>
      </c>
      <c r="B90" s="129" t="s">
        <v>133</v>
      </c>
      <c r="C90" s="117">
        <v>10143</v>
      </c>
      <c r="D90" s="117">
        <v>10109</v>
      </c>
      <c r="E90" s="117">
        <v>9875</v>
      </c>
      <c r="F90" s="117">
        <v>9935</v>
      </c>
      <c r="G90" s="151">
        <v>9867</v>
      </c>
      <c r="H90" s="155">
        <v>8874</v>
      </c>
      <c r="I90" s="155">
        <v>93</v>
      </c>
      <c r="J90" s="155">
        <v>358</v>
      </c>
      <c r="K90" s="155">
        <v>60</v>
      </c>
      <c r="L90" s="155">
        <v>482</v>
      </c>
      <c r="M90" s="40">
        <v>4217</v>
      </c>
      <c r="N90" s="40">
        <v>4216</v>
      </c>
      <c r="O90" s="40">
        <v>4167</v>
      </c>
      <c r="P90" s="106">
        <v>4156</v>
      </c>
      <c r="Q90" s="106">
        <v>4161</v>
      </c>
      <c r="R90" s="51">
        <v>32.299999999999997</v>
      </c>
      <c r="S90" s="51">
        <v>33</v>
      </c>
      <c r="T90" s="51">
        <v>33.594270486342438</v>
      </c>
      <c r="U90" s="51">
        <v>33.405136702568349</v>
      </c>
      <c r="V90" s="51">
        <v>32.942162615255661</v>
      </c>
      <c r="W90" s="38">
        <v>30.8</v>
      </c>
      <c r="X90" s="38">
        <v>31.7</v>
      </c>
      <c r="Y90" s="38">
        <v>30.87941372418388</v>
      </c>
      <c r="Z90" s="38">
        <v>31.217895608947803</v>
      </c>
      <c r="AA90" s="38">
        <v>32.472757753562448</v>
      </c>
      <c r="AB90" s="51">
        <v>63</v>
      </c>
      <c r="AC90" s="51">
        <v>64.7</v>
      </c>
      <c r="AD90" s="51">
        <v>64.473684210526315</v>
      </c>
      <c r="AE90" s="51">
        <v>64.623032311516155</v>
      </c>
      <c r="AF90" s="51">
        <v>65.414920368818102</v>
      </c>
      <c r="AG90" s="39">
        <v>4.9000000000000004</v>
      </c>
      <c r="AH90" s="39">
        <v>4.106324472960587</v>
      </c>
      <c r="AI90" s="39">
        <v>3.776946374487796</v>
      </c>
      <c r="AJ90" s="39">
        <v>3.8793895936753078</v>
      </c>
      <c r="AK90" s="39">
        <v>3.6057692307692304</v>
      </c>
      <c r="AL90" s="43">
        <v>307.5</v>
      </c>
      <c r="AM90" s="43">
        <v>294.16666666666669</v>
      </c>
      <c r="AN90" s="43">
        <v>292.5</v>
      </c>
      <c r="AO90" s="43">
        <v>285.5</v>
      </c>
      <c r="AP90" s="43">
        <v>292.25</v>
      </c>
      <c r="AQ90" s="190">
        <v>57025.086385625436</v>
      </c>
      <c r="AR90" s="190">
        <v>55387.73917371827</v>
      </c>
      <c r="AS90" s="190">
        <v>60585.489443378123</v>
      </c>
      <c r="AT90" s="190">
        <v>55124.646200301962</v>
      </c>
      <c r="AU90" s="190">
        <v>50774.880000000005</v>
      </c>
      <c r="AV90" s="162">
        <v>55929.3</v>
      </c>
      <c r="AW90" s="162">
        <v>52323.44</v>
      </c>
      <c r="AX90" s="162">
        <v>53069.120000000003</v>
      </c>
      <c r="AY90" s="161">
        <v>53116.07</v>
      </c>
      <c r="AZ90" s="161">
        <v>53596</v>
      </c>
      <c r="BA90" s="49">
        <v>10.8</v>
      </c>
      <c r="BB90" s="49">
        <v>11.2</v>
      </c>
      <c r="BC90" s="49">
        <v>12.5</v>
      </c>
      <c r="BD90" s="49">
        <v>9.9</v>
      </c>
      <c r="BE90" s="49">
        <v>9.9</v>
      </c>
      <c r="BF90" s="42">
        <v>14.1</v>
      </c>
      <c r="BG90" s="42">
        <v>14.5</v>
      </c>
      <c r="BH90" s="42">
        <v>15</v>
      </c>
      <c r="BI90" s="42">
        <v>14.1</v>
      </c>
      <c r="BJ90" s="42">
        <v>13</v>
      </c>
      <c r="BK90" s="36">
        <v>1489</v>
      </c>
      <c r="BL90" s="36">
        <v>1454</v>
      </c>
      <c r="BM90" s="36">
        <v>1408</v>
      </c>
      <c r="BN90" s="36">
        <v>1469</v>
      </c>
      <c r="BO90" s="40">
        <v>42.981867024848889</v>
      </c>
      <c r="BP90" s="40">
        <v>42.02200825309491</v>
      </c>
      <c r="BQ90" s="40">
        <v>41.122159090909093</v>
      </c>
      <c r="BR90" s="40">
        <v>39.959155888359426</v>
      </c>
      <c r="BS90" s="51">
        <v>1.8804566823371389</v>
      </c>
      <c r="BT90" s="51">
        <v>1.6506189821182944</v>
      </c>
      <c r="BU90" s="51">
        <v>1.2073863636363635</v>
      </c>
      <c r="BV90" s="51">
        <v>1.5656909462219197</v>
      </c>
      <c r="BW90" s="39">
        <v>19.744795164539958</v>
      </c>
      <c r="BX90" s="39">
        <v>18.225584594222834</v>
      </c>
      <c r="BY90" s="39">
        <v>17.258522727272727</v>
      </c>
      <c r="BZ90" s="39">
        <v>20.694349897889722</v>
      </c>
      <c r="CA90" s="40">
        <v>94.029850746268664</v>
      </c>
      <c r="CB90" s="40">
        <v>93.396226415094347</v>
      </c>
      <c r="CC90" s="40">
        <v>93.81</v>
      </c>
      <c r="CD90" s="40">
        <v>95.93</v>
      </c>
      <c r="CE90" s="40">
        <v>2.2388059701492535</v>
      </c>
      <c r="CF90" s="40">
        <v>0.94339622641509435</v>
      </c>
      <c r="CG90" s="40">
        <v>0</v>
      </c>
      <c r="CH90" s="36">
        <v>2.44</v>
      </c>
      <c r="CI90" s="105">
        <v>624</v>
      </c>
      <c r="CJ90" s="105">
        <v>640</v>
      </c>
      <c r="CK90" s="104">
        <v>613</v>
      </c>
      <c r="CL90" s="104">
        <v>555</v>
      </c>
      <c r="CM90" s="39">
        <v>11.232314504806135</v>
      </c>
      <c r="CN90" s="39">
        <v>15.38942457979657</v>
      </c>
      <c r="CO90" s="39">
        <v>12.084056142564263</v>
      </c>
      <c r="CP90" s="39">
        <v>11.115784413867692</v>
      </c>
      <c r="CQ90" s="104">
        <v>20</v>
      </c>
      <c r="CR90" s="104">
        <v>33</v>
      </c>
      <c r="CS90" s="104">
        <v>15</v>
      </c>
      <c r="CT90" s="104">
        <v>24</v>
      </c>
      <c r="CU90" s="39">
        <v>3.3</v>
      </c>
      <c r="CV90" s="39">
        <v>5.4</v>
      </c>
      <c r="CW90" s="39">
        <v>2.6</v>
      </c>
      <c r="CX90" s="39">
        <v>4.5</v>
      </c>
      <c r="CY90" s="36">
        <v>46</v>
      </c>
      <c r="CZ90" s="104">
        <v>52</v>
      </c>
      <c r="DA90" s="104">
        <v>33</v>
      </c>
      <c r="DB90" s="104">
        <v>40</v>
      </c>
      <c r="DC90" s="39">
        <v>8.1999999999999993</v>
      </c>
      <c r="DD90" s="39">
        <v>10.199999999999999</v>
      </c>
      <c r="DE90" s="39">
        <v>6.1</v>
      </c>
      <c r="DF90" s="39">
        <v>7.4</v>
      </c>
      <c r="DG90" s="39">
        <v>86.3</v>
      </c>
      <c r="DH90" s="39">
        <v>85.8</v>
      </c>
      <c r="DI90" s="39">
        <v>86.9</v>
      </c>
      <c r="DJ90" s="39">
        <v>88.8</v>
      </c>
      <c r="DK90" s="39">
        <v>15.2</v>
      </c>
      <c r="DL90" s="39">
        <v>16.100000000000001</v>
      </c>
      <c r="DM90" s="39">
        <v>16.2</v>
      </c>
      <c r="DN90" s="39">
        <v>12.5</v>
      </c>
      <c r="DO90" s="39">
        <v>25.8</v>
      </c>
      <c r="DP90" s="39">
        <v>29.1</v>
      </c>
      <c r="DQ90" s="39">
        <v>33</v>
      </c>
      <c r="DR90" s="39">
        <v>35.4</v>
      </c>
      <c r="DS90" s="39">
        <v>33.799999999999997</v>
      </c>
      <c r="DT90" s="39">
        <v>23.8</v>
      </c>
      <c r="DU90" s="39">
        <v>30.6</v>
      </c>
      <c r="DV90" s="39">
        <v>16.100000000000001</v>
      </c>
      <c r="DW90" s="45">
        <v>97</v>
      </c>
      <c r="DX90" s="45">
        <v>0</v>
      </c>
      <c r="DY90" s="15">
        <v>0</v>
      </c>
      <c r="DZ90" s="45">
        <v>0</v>
      </c>
      <c r="EA90" s="45">
        <v>8</v>
      </c>
      <c r="EB90" s="45">
        <v>2</v>
      </c>
      <c r="EC90" s="45">
        <v>2</v>
      </c>
      <c r="ED90" s="45">
        <v>2</v>
      </c>
      <c r="EE90" s="45">
        <v>3</v>
      </c>
      <c r="EF90" s="104">
        <v>679</v>
      </c>
      <c r="EG90" s="104">
        <v>656</v>
      </c>
      <c r="EH90" s="104">
        <v>587</v>
      </c>
      <c r="EI90" s="104">
        <v>584</v>
      </c>
      <c r="EJ90" s="174">
        <v>115</v>
      </c>
      <c r="EK90" s="174"/>
      <c r="EL90" s="174">
        <v>4</v>
      </c>
      <c r="EM90" s="174"/>
      <c r="EN90" s="174">
        <v>2</v>
      </c>
      <c r="EO90" s="39">
        <v>1225.6320000000001</v>
      </c>
      <c r="EP90" s="39">
        <v>1255.623</v>
      </c>
      <c r="EQ90" s="39">
        <v>1124.7370000000001</v>
      </c>
      <c r="ER90" s="39">
        <v>1182.7850000000001</v>
      </c>
      <c r="ES90" s="39">
        <v>722.52300000000002</v>
      </c>
      <c r="ET90" s="39">
        <v>722.36599999999999</v>
      </c>
      <c r="EU90" s="39">
        <v>644.57000000000005</v>
      </c>
      <c r="EV90" s="39">
        <v>673.14099999999996</v>
      </c>
      <c r="EW90" s="39">
        <v>922.95399999999995</v>
      </c>
      <c r="EX90" s="39">
        <v>900.31799999999998</v>
      </c>
      <c r="EY90" s="39">
        <v>745.35</v>
      </c>
      <c r="EZ90" s="39">
        <v>781.11500000000001</v>
      </c>
      <c r="FA90" s="39">
        <v>580.16200000000003</v>
      </c>
      <c r="FB90" s="39">
        <v>599.54600000000005</v>
      </c>
      <c r="FC90" s="39">
        <v>544.24699999999996</v>
      </c>
      <c r="FD90" s="39">
        <v>601.423</v>
      </c>
      <c r="FE90" s="44">
        <v>158</v>
      </c>
      <c r="FF90" s="44">
        <v>152</v>
      </c>
      <c r="FG90" s="44">
        <v>134</v>
      </c>
      <c r="FH90" s="44">
        <v>131</v>
      </c>
      <c r="FI90" s="39">
        <v>187.66200000000001</v>
      </c>
      <c r="FJ90" s="39">
        <v>194.38399999999999</v>
      </c>
      <c r="FK90" s="39">
        <v>164.03399999999999</v>
      </c>
      <c r="FL90" s="39">
        <v>159.01599999999999</v>
      </c>
      <c r="FM90" s="45">
        <v>206</v>
      </c>
      <c r="FN90" s="45">
        <v>147</v>
      </c>
      <c r="FO90" s="36">
        <v>114</v>
      </c>
      <c r="FP90" s="45">
        <v>113</v>
      </c>
      <c r="FQ90" s="39">
        <v>211.71299999999999</v>
      </c>
      <c r="FR90" s="39">
        <v>143.80000000000001</v>
      </c>
      <c r="FS90" s="39">
        <v>117.604</v>
      </c>
      <c r="FT90" s="39">
        <v>121.496</v>
      </c>
      <c r="FU90" s="43">
        <v>54</v>
      </c>
      <c r="FV90" s="43">
        <v>65</v>
      </c>
      <c r="FW90" s="43">
        <v>50</v>
      </c>
      <c r="FX90" s="45">
        <v>33</v>
      </c>
      <c r="FY90" s="39">
        <v>46.326999999999998</v>
      </c>
      <c r="FZ90" s="39">
        <v>62.115000000000002</v>
      </c>
      <c r="GA90" s="39">
        <v>47.122999999999998</v>
      </c>
      <c r="GB90" s="39">
        <v>35.819000000000003</v>
      </c>
      <c r="GC90" s="150">
        <v>33</v>
      </c>
      <c r="GD90" s="150">
        <v>35</v>
      </c>
      <c r="GE90" s="150">
        <v>32</v>
      </c>
      <c r="GF90" s="150">
        <v>30</v>
      </c>
      <c r="GG90" s="182">
        <v>44.771999999999998</v>
      </c>
      <c r="GH90" s="182">
        <v>52.77</v>
      </c>
      <c r="GI90" s="182">
        <v>46.311</v>
      </c>
      <c r="GJ90" s="182">
        <v>36.716999999999999</v>
      </c>
      <c r="GK90" s="182"/>
      <c r="GL90" s="114"/>
      <c r="GM90" s="114"/>
      <c r="GN90" s="114"/>
      <c r="GP90" s="114"/>
      <c r="GQ90" s="114"/>
      <c r="GR90" s="114"/>
      <c r="GS90" s="114"/>
      <c r="GU90" s="114"/>
      <c r="GV90" s="114"/>
      <c r="GW90" s="114"/>
      <c r="GX90" s="114"/>
      <c r="HE90" s="113"/>
      <c r="HF90" s="113"/>
      <c r="HG90" s="113"/>
      <c r="HH90" s="113"/>
      <c r="HI90" s="113"/>
      <c r="HJ90" s="115"/>
      <c r="HK90" s="115"/>
      <c r="HL90" s="114"/>
      <c r="HV90" s="116"/>
    </row>
    <row r="91" spans="1:230" s="218" customFormat="1" ht="60" x14ac:dyDescent="0.2">
      <c r="A91" s="130" t="s">
        <v>427</v>
      </c>
      <c r="B91" s="131" t="s">
        <v>459</v>
      </c>
      <c r="C91" s="94">
        <v>74512</v>
      </c>
      <c r="D91" s="94">
        <v>74216</v>
      </c>
      <c r="E91" s="94">
        <v>73978</v>
      </c>
      <c r="F91" s="152">
        <v>73453</v>
      </c>
      <c r="G91" s="152">
        <f>G4+G34+G39</f>
        <v>73494</v>
      </c>
      <c r="H91" s="152">
        <f t="shared" ref="H91:L91" si="1">H4+H34+H39</f>
        <v>68796</v>
      </c>
      <c r="I91" s="152">
        <f t="shared" si="1"/>
        <v>639</v>
      </c>
      <c r="J91" s="152">
        <f t="shared" si="1"/>
        <v>2679</v>
      </c>
      <c r="K91" s="152">
        <f t="shared" si="1"/>
        <v>324</v>
      </c>
      <c r="L91" s="152">
        <f t="shared" si="1"/>
        <v>1056</v>
      </c>
      <c r="M91" s="94">
        <f>M4+M34+M39</f>
        <v>32047</v>
      </c>
      <c r="N91" s="94">
        <f>N4+N34+N39</f>
        <v>32104</v>
      </c>
      <c r="O91" s="94">
        <f t="shared" ref="O91:P91" si="2">O4+O34+O39</f>
        <v>32232</v>
      </c>
      <c r="P91" s="94">
        <f t="shared" si="2"/>
        <v>32308</v>
      </c>
      <c r="Q91" s="94">
        <f t="shared" ref="Q91" si="3">Q4+Q34+Q39</f>
        <v>32405</v>
      </c>
      <c r="R91" s="95">
        <v>36.700000000000003</v>
      </c>
      <c r="S91" s="95">
        <v>38</v>
      </c>
      <c r="T91" s="95">
        <v>39.025047131699438</v>
      </c>
      <c r="U91" s="95">
        <v>40.508118956394817</v>
      </c>
      <c r="V91" s="95">
        <v>42.542087153315009</v>
      </c>
      <c r="W91" s="96">
        <v>27.1</v>
      </c>
      <c r="X91" s="96">
        <v>26.9</v>
      </c>
      <c r="Y91" s="96">
        <v>27.00870814256217</v>
      </c>
      <c r="Z91" s="96">
        <v>27.00921364714468</v>
      </c>
      <c r="AA91" s="96">
        <v>27.17825554811445</v>
      </c>
      <c r="AB91" s="95">
        <v>63.9</v>
      </c>
      <c r="AC91" s="95">
        <v>64.900000000000006</v>
      </c>
      <c r="AD91" s="95">
        <v>66.033755274261608</v>
      </c>
      <c r="AE91" s="95">
        <v>67.517332603539501</v>
      </c>
      <c r="AF91" s="95">
        <v>69.720342701429459</v>
      </c>
      <c r="AG91" s="97">
        <v>7.6215434171375538</v>
      </c>
      <c r="AH91" s="97">
        <v>6.8085590065641783</v>
      </c>
      <c r="AI91" s="97">
        <v>6.6606962946378596</v>
      </c>
      <c r="AJ91" s="97">
        <v>8.3059703623333245</v>
      </c>
      <c r="AK91" s="97">
        <v>7.1916223096505441</v>
      </c>
      <c r="AL91" s="94">
        <f>AL4+AL34+AL39</f>
        <v>4710.75</v>
      </c>
      <c r="AM91" s="94">
        <f t="shared" ref="AM91:AO91" si="4">AM4+AM34+AM39</f>
        <v>4329.75</v>
      </c>
      <c r="AN91" s="94">
        <f t="shared" si="4"/>
        <v>4062.6666666666665</v>
      </c>
      <c r="AO91" s="94">
        <f t="shared" si="4"/>
        <v>3951.916666666667</v>
      </c>
      <c r="AP91" s="94">
        <f t="shared" ref="AP91" si="5">AP4+AP34+AP39</f>
        <v>3930.3333333333335</v>
      </c>
      <c r="AQ91" s="191">
        <v>36187.763451858635</v>
      </c>
      <c r="AR91" s="191">
        <v>37406.230482467989</v>
      </c>
      <c r="AS91" s="191">
        <v>38612.155084917795</v>
      </c>
      <c r="AT91" s="191">
        <v>38915.386437585941</v>
      </c>
      <c r="AU91" s="191">
        <v>40743.427490679518</v>
      </c>
      <c r="AV91" s="163" t="s">
        <v>144</v>
      </c>
      <c r="AW91" s="163" t="s">
        <v>144</v>
      </c>
      <c r="AX91" s="163" t="s">
        <v>144</v>
      </c>
      <c r="AY91" s="163" t="s">
        <v>144</v>
      </c>
      <c r="AZ91" s="197" t="s">
        <v>144</v>
      </c>
      <c r="BA91" s="98">
        <v>13.781669201573012</v>
      </c>
      <c r="BB91" s="98">
        <v>14.830298696297925</v>
      </c>
      <c r="BC91" s="98">
        <v>13.300132435713497</v>
      </c>
      <c r="BD91" s="98">
        <v>13.179856506881951</v>
      </c>
      <c r="BE91" s="98">
        <v>11.421340517593274</v>
      </c>
      <c r="BF91" s="98">
        <v>21.414349467902507</v>
      </c>
      <c r="BG91" s="98">
        <v>22.328615043019706</v>
      </c>
      <c r="BH91" s="98">
        <v>19.281637198941944</v>
      </c>
      <c r="BI91" s="98">
        <v>19.397648353159596</v>
      </c>
      <c r="BJ91" s="98">
        <v>15.943939499063346</v>
      </c>
      <c r="BK91" s="156">
        <f>BK4+BK34+BK39</f>
        <v>10645</v>
      </c>
      <c r="BL91" s="156">
        <f t="shared" ref="BL91" si="6">BL4+BL34+BL39</f>
        <v>10453</v>
      </c>
      <c r="BM91" s="158">
        <f t="shared" ref="BM91" si="7">BM4+BM34+BM39</f>
        <v>10178</v>
      </c>
      <c r="BN91" s="158">
        <f>BN4+BN34+BN39</f>
        <v>10588</v>
      </c>
      <c r="BO91" s="97">
        <v>47.374354156881168</v>
      </c>
      <c r="BP91" s="97">
        <v>47.220893523390416</v>
      </c>
      <c r="BQ91" s="97">
        <v>45.922578109648263</v>
      </c>
      <c r="BR91" s="97">
        <v>46.146581035134119</v>
      </c>
      <c r="BS91" s="95">
        <v>0.15030530765617661</v>
      </c>
      <c r="BT91" s="95">
        <v>0.1339328422462451</v>
      </c>
      <c r="BU91" s="95">
        <v>0.19650225977598743</v>
      </c>
      <c r="BV91" s="95">
        <v>0.22667170381564036</v>
      </c>
      <c r="BW91" s="97">
        <v>17.557538750587131</v>
      </c>
      <c r="BX91" s="97">
        <v>18.061800440065053</v>
      </c>
      <c r="BY91" s="97">
        <v>17.223423069365296</v>
      </c>
      <c r="BZ91" s="97">
        <v>19.295428787306385</v>
      </c>
      <c r="CA91" s="236">
        <v>86.202531645569621</v>
      </c>
      <c r="CB91" s="236">
        <v>86.506024096385545</v>
      </c>
      <c r="CC91" s="236">
        <v>88.639053254437869</v>
      </c>
      <c r="CD91" s="236">
        <v>88.930348258706474</v>
      </c>
      <c r="CE91" s="236">
        <v>3.9240506329113924</v>
      </c>
      <c r="CF91" s="236">
        <v>4.8134777376654636</v>
      </c>
      <c r="CG91" s="236">
        <v>4.0236686390532546</v>
      </c>
      <c r="CH91" s="236">
        <v>3.4825870646766171</v>
      </c>
      <c r="CI91" s="94">
        <v>3629</v>
      </c>
      <c r="CJ91" s="94">
        <v>3882</v>
      </c>
      <c r="CK91" s="94">
        <v>3532</v>
      </c>
      <c r="CL91" s="94">
        <v>3434</v>
      </c>
      <c r="CM91" s="97">
        <v>9.8718482308744839</v>
      </c>
      <c r="CN91" s="97">
        <v>10.458340405240484</v>
      </c>
      <c r="CO91" s="97">
        <v>9.5357916164948673</v>
      </c>
      <c r="CP91" s="97">
        <v>9.2897934008380822</v>
      </c>
      <c r="CQ91" s="126">
        <f t="shared" ref="CQ91:CT91" si="8">CQ4+CQ34+CQ39</f>
        <v>149</v>
      </c>
      <c r="CR91" s="126">
        <f t="shared" si="8"/>
        <v>171</v>
      </c>
      <c r="CS91" s="126">
        <f t="shared" si="8"/>
        <v>167</v>
      </c>
      <c r="CT91" s="126">
        <f t="shared" si="8"/>
        <v>177</v>
      </c>
      <c r="CU91" s="97">
        <v>4.2</v>
      </c>
      <c r="CV91" s="97">
        <v>4.5</v>
      </c>
      <c r="CW91" s="97">
        <v>4.9000000000000004</v>
      </c>
      <c r="CX91" s="97">
        <v>5.3</v>
      </c>
      <c r="CY91" s="94">
        <f t="shared" ref="CY91:DB91" si="9">CY4+CY34+CY39</f>
        <v>197</v>
      </c>
      <c r="CZ91" s="94">
        <f t="shared" si="9"/>
        <v>275</v>
      </c>
      <c r="DA91" s="94">
        <f t="shared" si="9"/>
        <v>219</v>
      </c>
      <c r="DB91" s="94">
        <f t="shared" si="9"/>
        <v>251</v>
      </c>
      <c r="DC91" s="97">
        <v>6.4</v>
      </c>
      <c r="DD91" s="97">
        <v>8.6999999999999993</v>
      </c>
      <c r="DE91" s="97">
        <v>7.2</v>
      </c>
      <c r="DF91" s="97">
        <v>7.5</v>
      </c>
      <c r="DG91" s="97">
        <v>88.7</v>
      </c>
      <c r="DH91" s="97">
        <v>85.1</v>
      </c>
      <c r="DI91" s="97">
        <v>84.4</v>
      </c>
      <c r="DJ91" s="97">
        <v>82.4</v>
      </c>
      <c r="DK91" s="97">
        <v>19.5</v>
      </c>
      <c r="DL91" s="97">
        <v>23.1</v>
      </c>
      <c r="DM91" s="97">
        <v>23.2</v>
      </c>
      <c r="DN91" s="97">
        <v>22.2</v>
      </c>
      <c r="DO91" s="97">
        <v>34.299999999999997</v>
      </c>
      <c r="DP91" s="97">
        <v>40.1</v>
      </c>
      <c r="DQ91" s="97">
        <v>42.8</v>
      </c>
      <c r="DR91" s="97">
        <v>43.9</v>
      </c>
      <c r="DS91" s="97">
        <v>30.8</v>
      </c>
      <c r="DT91" s="97">
        <v>31.1</v>
      </c>
      <c r="DU91" s="97">
        <v>27.6</v>
      </c>
      <c r="DV91" s="97">
        <v>18.899999999999999</v>
      </c>
      <c r="DW91" s="94">
        <f t="shared" ref="DW91" si="10">DW4+DW34+DW39</f>
        <v>619</v>
      </c>
      <c r="DX91" s="94">
        <f t="shared" ref="DX91:EA91" si="11">DX4+DX34+DX39</f>
        <v>6</v>
      </c>
      <c r="DY91" s="94">
        <f t="shared" si="11"/>
        <v>50</v>
      </c>
      <c r="DZ91" s="94">
        <f t="shared" si="11"/>
        <v>2</v>
      </c>
      <c r="EA91" s="94">
        <f t="shared" si="11"/>
        <v>10</v>
      </c>
      <c r="EB91" s="94">
        <f t="shared" ref="EB91:EE91" si="12">EB4+EB34+EB39</f>
        <v>26</v>
      </c>
      <c r="EC91" s="94">
        <f t="shared" si="12"/>
        <v>26</v>
      </c>
      <c r="ED91" s="94">
        <f t="shared" si="12"/>
        <v>11</v>
      </c>
      <c r="EE91" s="94">
        <f t="shared" si="12"/>
        <v>24</v>
      </c>
      <c r="EF91" s="94">
        <f t="shared" ref="EF91" si="13">EF4+EF34+EF39</f>
        <v>4005</v>
      </c>
      <c r="EG91" s="94">
        <f t="shared" ref="EG91:EI91" si="14">EG4+EG34+EG39</f>
        <v>3966</v>
      </c>
      <c r="EH91" s="94">
        <f t="shared" si="14"/>
        <v>4243</v>
      </c>
      <c r="EI91" s="94">
        <f t="shared" si="14"/>
        <v>4461</v>
      </c>
      <c r="EJ91" s="94">
        <f t="shared" ref="EJ91:EN91" si="15">EJ4+EJ34+EJ39</f>
        <v>811</v>
      </c>
      <c r="EK91" s="94">
        <f>EK4+EK34+EK39</f>
        <v>2</v>
      </c>
      <c r="EL91" s="94">
        <f t="shared" si="15"/>
        <v>26</v>
      </c>
      <c r="EM91" s="94">
        <f>EM4+EM34+EM39</f>
        <v>2</v>
      </c>
      <c r="EN91" s="94">
        <f t="shared" si="15"/>
        <v>1</v>
      </c>
      <c r="EO91" s="97">
        <v>1087.6059091896589</v>
      </c>
      <c r="EP91" s="97">
        <v>1065.1984153629221</v>
      </c>
      <c r="EQ91" s="97">
        <v>1137.9758887503183</v>
      </c>
      <c r="ER91" s="97">
        <v>1206.03422639163</v>
      </c>
      <c r="ES91" s="97">
        <v>803.32100000000003</v>
      </c>
      <c r="ET91" s="97">
        <v>715.84699999999998</v>
      </c>
      <c r="EU91" s="97">
        <v>732.82600000000002</v>
      </c>
      <c r="EV91" s="97">
        <v>737.34699999999998</v>
      </c>
      <c r="EW91" s="97">
        <v>964.71199999999999</v>
      </c>
      <c r="EX91" s="97">
        <v>840.69200000000001</v>
      </c>
      <c r="EY91" s="97">
        <v>873.851</v>
      </c>
      <c r="EZ91" s="97">
        <v>845.19299999999998</v>
      </c>
      <c r="FA91" s="97">
        <v>675.73699999999997</v>
      </c>
      <c r="FB91" s="97">
        <v>601.56200000000001</v>
      </c>
      <c r="FC91" s="97">
        <v>608.01199999999994</v>
      </c>
      <c r="FD91" s="97">
        <v>633.35199999999998</v>
      </c>
      <c r="FE91" s="94">
        <f t="shared" ref="FE91:FH91" si="16">FE4+FE34+FE39</f>
        <v>1010</v>
      </c>
      <c r="FF91" s="94">
        <f t="shared" si="16"/>
        <v>1021</v>
      </c>
      <c r="FG91" s="94">
        <f t="shared" si="16"/>
        <v>1055</v>
      </c>
      <c r="FH91" s="94">
        <f t="shared" si="16"/>
        <v>1103</v>
      </c>
      <c r="FI91" s="97">
        <v>198.798</v>
      </c>
      <c r="FJ91" s="97">
        <v>185.26</v>
      </c>
      <c r="FK91" s="97">
        <v>176.35499999999999</v>
      </c>
      <c r="FL91" s="97">
        <v>176.52699999999999</v>
      </c>
      <c r="FM91" s="94">
        <f t="shared" ref="FM91:FP91" si="17">FM4+FM34+FM39</f>
        <v>1079</v>
      </c>
      <c r="FN91" s="94">
        <f t="shared" si="17"/>
        <v>948</v>
      </c>
      <c r="FO91" s="94">
        <f t="shared" si="17"/>
        <v>888</v>
      </c>
      <c r="FP91" s="94">
        <f t="shared" si="17"/>
        <v>892</v>
      </c>
      <c r="FQ91" s="97">
        <v>209.98400000000001</v>
      </c>
      <c r="FR91" s="97">
        <v>164.24799999999999</v>
      </c>
      <c r="FS91" s="97">
        <v>146.47999999999999</v>
      </c>
      <c r="FT91" s="97">
        <v>139.62200000000001</v>
      </c>
      <c r="FU91" s="94">
        <f t="shared" ref="FU91:FX91" si="18">FU4+FU34+FU39</f>
        <v>274</v>
      </c>
      <c r="FV91" s="94">
        <f t="shared" si="18"/>
        <v>263</v>
      </c>
      <c r="FW91" s="94">
        <f t="shared" si="18"/>
        <v>232</v>
      </c>
      <c r="FX91" s="94">
        <f t="shared" si="18"/>
        <v>229</v>
      </c>
      <c r="FY91" s="97">
        <v>53.207000000000001</v>
      </c>
      <c r="FZ91" s="97">
        <v>43.33</v>
      </c>
      <c r="GA91" s="97">
        <v>39.189</v>
      </c>
      <c r="GB91" s="97">
        <v>35.533000000000001</v>
      </c>
      <c r="GC91" s="94">
        <f t="shared" ref="GC91:GF91" si="19">GC4+GC34+GC39</f>
        <v>205</v>
      </c>
      <c r="GD91" s="94">
        <f t="shared" si="19"/>
        <v>197</v>
      </c>
      <c r="GE91" s="94">
        <f t="shared" si="19"/>
        <v>239</v>
      </c>
      <c r="GF91" s="94">
        <f t="shared" si="19"/>
        <v>312</v>
      </c>
      <c r="GG91" s="180">
        <v>50.923000000000002</v>
      </c>
      <c r="GH91" s="180">
        <v>45.201000000000001</v>
      </c>
      <c r="GI91" s="180">
        <v>53.558999999999997</v>
      </c>
      <c r="GJ91" s="180">
        <v>64.376999999999995</v>
      </c>
      <c r="GK91" s="180"/>
      <c r="GL91" s="217"/>
      <c r="GM91" s="217"/>
      <c r="GN91" s="217"/>
      <c r="GP91" s="217"/>
      <c r="GQ91" s="217"/>
      <c r="GR91" s="217"/>
      <c r="GS91" s="217"/>
      <c r="GU91" s="217"/>
      <c r="GV91" s="217"/>
      <c r="GW91" s="217"/>
      <c r="GX91" s="217"/>
      <c r="HE91" s="219"/>
      <c r="HF91" s="219"/>
      <c r="HG91" s="219"/>
      <c r="HH91" s="219"/>
      <c r="HI91" s="219"/>
      <c r="HJ91" s="217"/>
      <c r="HK91" s="217"/>
      <c r="HL91" s="220"/>
      <c r="HV91" s="221"/>
    </row>
    <row r="92" spans="1:230" s="223" customFormat="1" ht="72" x14ac:dyDescent="0.2">
      <c r="A92" s="134" t="s">
        <v>485</v>
      </c>
      <c r="B92" s="135" t="s">
        <v>484</v>
      </c>
      <c r="C92" s="138">
        <v>33425</v>
      </c>
      <c r="D92" s="138">
        <v>33282</v>
      </c>
      <c r="E92" s="138">
        <v>33381</v>
      </c>
      <c r="F92" s="153">
        <v>33359</v>
      </c>
      <c r="G92" s="153">
        <f>G18+G32+G42</f>
        <v>33640</v>
      </c>
      <c r="H92" s="153">
        <f t="shared" ref="H92:M92" si="20">H18+H32+H42</f>
        <v>30903</v>
      </c>
      <c r="I92" s="153">
        <f t="shared" si="20"/>
        <v>316</v>
      </c>
      <c r="J92" s="153">
        <f t="shared" si="20"/>
        <v>1473</v>
      </c>
      <c r="K92" s="153">
        <f t="shared" si="20"/>
        <v>226</v>
      </c>
      <c r="L92" s="153">
        <f t="shared" si="20"/>
        <v>722</v>
      </c>
      <c r="M92" s="153">
        <f t="shared" si="20"/>
        <v>14119</v>
      </c>
      <c r="N92" s="138">
        <f>N18+N32+N42</f>
        <v>14128</v>
      </c>
      <c r="O92" s="138">
        <f>O18+O32+O42</f>
        <v>14155</v>
      </c>
      <c r="P92" s="138">
        <f>P18+P32+P42</f>
        <v>14202</v>
      </c>
      <c r="Q92" s="138">
        <f>Q18+Q32+Q42</f>
        <v>14327</v>
      </c>
      <c r="R92" s="164">
        <v>27.5</v>
      </c>
      <c r="S92" s="164">
        <v>28.6</v>
      </c>
      <c r="T92" s="164">
        <v>29.632517389252516</v>
      </c>
      <c r="U92" s="164">
        <v>39.586848698675666</v>
      </c>
      <c r="V92" s="164">
        <v>40.466231381350745</v>
      </c>
      <c r="W92" s="175">
        <v>32</v>
      </c>
      <c r="X92" s="175">
        <v>32.4</v>
      </c>
      <c r="Y92" s="175">
        <v>32.570736811867782</v>
      </c>
      <c r="Z92" s="175">
        <v>30.986347599325047</v>
      </c>
      <c r="AA92" s="175">
        <v>31.13140175474393</v>
      </c>
      <c r="AB92" s="164">
        <v>59.5</v>
      </c>
      <c r="AC92" s="164">
        <v>60.9</v>
      </c>
      <c r="AD92" s="164">
        <v>62.203254201120295</v>
      </c>
      <c r="AE92" s="164">
        <v>70.573196298000724</v>
      </c>
      <c r="AF92" s="164">
        <v>71.597633136094672</v>
      </c>
      <c r="AG92" s="136">
        <v>7.321863461387383</v>
      </c>
      <c r="AH92" s="136">
        <v>6.0244594560658946</v>
      </c>
      <c r="AI92" s="136">
        <v>5.6229683118687808</v>
      </c>
      <c r="AJ92" s="136">
        <v>7.1157944589154631</v>
      </c>
      <c r="AK92" s="136">
        <v>6.4377682403433472</v>
      </c>
      <c r="AL92" s="138">
        <f>AL18+AL32+AL42</f>
        <v>1853.0833333333335</v>
      </c>
      <c r="AM92" s="138">
        <f t="shared" ref="AM92:AO92" si="21">AM18+AM32+AM42</f>
        <v>1607.1666666666665</v>
      </c>
      <c r="AN92" s="138">
        <f t="shared" si="21"/>
        <v>1500.75</v>
      </c>
      <c r="AO92" s="138">
        <f t="shared" si="21"/>
        <v>1504.8333333333335</v>
      </c>
      <c r="AP92" s="138">
        <f t="shared" ref="AP92" si="22">AP18+AP32+AP42</f>
        <v>1465.9166666666665</v>
      </c>
      <c r="AQ92" s="191">
        <v>36342.630161579887</v>
      </c>
      <c r="AR92" s="191">
        <v>37683.445458913986</v>
      </c>
      <c r="AS92" s="191">
        <v>40062.357879587427</v>
      </c>
      <c r="AT92" s="191">
        <v>40864.097544890436</v>
      </c>
      <c r="AU92" s="191">
        <v>43113.154577883477</v>
      </c>
      <c r="AV92" s="163" t="s">
        <v>144</v>
      </c>
      <c r="AW92" s="163" t="s">
        <v>144</v>
      </c>
      <c r="AX92" s="163" t="s">
        <v>144</v>
      </c>
      <c r="AY92" s="163" t="s">
        <v>144</v>
      </c>
      <c r="AZ92" s="197" t="s">
        <v>144</v>
      </c>
      <c r="BA92" s="196">
        <v>17.571693239047047</v>
      </c>
      <c r="BB92" s="196">
        <v>16.330023517115233</v>
      </c>
      <c r="BC92" s="196">
        <v>14.319830871222008</v>
      </c>
      <c r="BD92" s="196">
        <v>13.540573758206181</v>
      </c>
      <c r="BE92" s="196">
        <v>12.018430439952438</v>
      </c>
      <c r="BF92" s="196">
        <v>25.216723362229782</v>
      </c>
      <c r="BG92" s="196">
        <v>23.52009611183923</v>
      </c>
      <c r="BH92" s="196">
        <v>21.952950166475631</v>
      </c>
      <c r="BI92" s="196">
        <v>20.170142700329308</v>
      </c>
      <c r="BJ92" s="196">
        <v>16.561730084861757</v>
      </c>
      <c r="BK92" s="160">
        <f>BK18+BK32+BK42</f>
        <v>4331</v>
      </c>
      <c r="BL92" s="160">
        <f>BL18+BL32+BL42</f>
        <v>4382</v>
      </c>
      <c r="BM92" s="160">
        <f>BM18+BM32+BM42</f>
        <v>4350</v>
      </c>
      <c r="BN92" s="160">
        <f>BN18+BN32+BN42</f>
        <v>4598</v>
      </c>
      <c r="BO92" s="136">
        <v>56.775176395125079</v>
      </c>
      <c r="BP92" s="136">
        <v>56.89368112265123</v>
      </c>
      <c r="BQ92" s="136">
        <v>49.494252873563219</v>
      </c>
      <c r="BR92" s="136">
        <v>49.565028273162241</v>
      </c>
      <c r="BS92" s="164">
        <v>0.78576010262989093</v>
      </c>
      <c r="BT92" s="164">
        <v>0.22992150955363513</v>
      </c>
      <c r="BU92" s="164">
        <v>0.55172413793103448</v>
      </c>
      <c r="BV92" s="164">
        <v>0.58721183123096998</v>
      </c>
      <c r="BW92" s="136">
        <v>18.83418858242463</v>
      </c>
      <c r="BX92" s="136">
        <v>19.511615000396418</v>
      </c>
      <c r="BY92" s="136">
        <v>18.551724137931036</v>
      </c>
      <c r="BZ92" s="136">
        <v>18.76903001304915</v>
      </c>
      <c r="CA92" s="198">
        <v>80.79710144927536</v>
      </c>
      <c r="CB92" s="198">
        <v>78.983050847457619</v>
      </c>
      <c r="CC92" s="198">
        <v>78.996865203761757</v>
      </c>
      <c r="CD92" s="198">
        <v>81.619937694704049</v>
      </c>
      <c r="CE92" s="198">
        <v>7.2463768115942031</v>
      </c>
      <c r="CF92" s="198">
        <v>11.340206185567011</v>
      </c>
      <c r="CG92" s="198">
        <v>10.658307210031348</v>
      </c>
      <c r="CH92" s="198">
        <v>7.7881619937694699</v>
      </c>
      <c r="CI92" s="138">
        <v>1581</v>
      </c>
      <c r="CJ92" s="138">
        <v>1934</v>
      </c>
      <c r="CK92" s="138">
        <v>1842</v>
      </c>
      <c r="CL92" s="138">
        <v>1834</v>
      </c>
      <c r="CM92" s="136">
        <v>10.312371584556882</v>
      </c>
      <c r="CN92" s="136">
        <v>12.266203248577717</v>
      </c>
      <c r="CO92" s="136">
        <v>11.434956699878946</v>
      </c>
      <c r="CP92" s="136">
        <v>10.97631772669328</v>
      </c>
      <c r="CQ92" s="137">
        <f>CQ18+CQ32+CQ42</f>
        <v>77</v>
      </c>
      <c r="CR92" s="137">
        <f t="shared" ref="CR92:CT92" si="23">CR18+CR32+CR42</f>
        <v>88</v>
      </c>
      <c r="CS92" s="137">
        <f t="shared" si="23"/>
        <v>84</v>
      </c>
      <c r="CT92" s="137">
        <f t="shared" si="23"/>
        <v>79</v>
      </c>
      <c r="CU92" s="136">
        <v>5</v>
      </c>
      <c r="CV92" s="136">
        <v>4.7</v>
      </c>
      <c r="CW92" s="136">
        <v>4.7</v>
      </c>
      <c r="CX92" s="136">
        <v>4.4000000000000004</v>
      </c>
      <c r="CY92" s="138">
        <f>CY18+CY32+CY42</f>
        <v>102</v>
      </c>
      <c r="CZ92" s="138">
        <f t="shared" ref="CZ92:DB92" si="24">CZ18+CZ32+CZ42</f>
        <v>142</v>
      </c>
      <c r="DA92" s="138">
        <f t="shared" si="24"/>
        <v>134</v>
      </c>
      <c r="DB92" s="138">
        <f t="shared" si="24"/>
        <v>103</v>
      </c>
      <c r="DC92" s="136">
        <v>7.9</v>
      </c>
      <c r="DD92" s="136">
        <v>8.6999999999999993</v>
      </c>
      <c r="DE92" s="136">
        <v>8.1</v>
      </c>
      <c r="DF92" s="136">
        <v>5.8</v>
      </c>
      <c r="DG92" s="136">
        <v>77.400000000000006</v>
      </c>
      <c r="DH92" s="136">
        <v>76</v>
      </c>
      <c r="DI92" s="136">
        <v>76</v>
      </c>
      <c r="DJ92" s="136">
        <v>79.599999999999994</v>
      </c>
      <c r="DK92" s="136">
        <v>19.600000000000001</v>
      </c>
      <c r="DL92" s="136">
        <v>23.2</v>
      </c>
      <c r="DM92" s="136">
        <v>21</v>
      </c>
      <c r="DN92" s="136">
        <v>19.7</v>
      </c>
      <c r="DO92" s="136">
        <v>35.299999999999997</v>
      </c>
      <c r="DP92" s="136">
        <v>35.4</v>
      </c>
      <c r="DQ92" s="136">
        <v>37.9</v>
      </c>
      <c r="DR92" s="136">
        <v>40.799999999999997</v>
      </c>
      <c r="DS92" s="136">
        <v>37.1</v>
      </c>
      <c r="DT92" s="136">
        <v>33.299999999999997</v>
      </c>
      <c r="DU92" s="136">
        <v>29.4</v>
      </c>
      <c r="DV92" s="136">
        <v>25.5</v>
      </c>
      <c r="DW92" s="138">
        <f>DW18+DW32+DW42</f>
        <v>305</v>
      </c>
      <c r="DX92" s="138">
        <f t="shared" ref="DX92:EA92" si="25">DX18+DX32+DX42</f>
        <v>3</v>
      </c>
      <c r="DY92" s="138">
        <f t="shared" si="25"/>
        <v>28</v>
      </c>
      <c r="DZ92" s="138">
        <f t="shared" si="25"/>
        <v>9</v>
      </c>
      <c r="EA92" s="138">
        <f t="shared" si="25"/>
        <v>14</v>
      </c>
      <c r="EB92" s="138">
        <f t="shared" ref="EB92:EE92" si="26">EB18+EB32+EB42</f>
        <v>10</v>
      </c>
      <c r="EC92" s="138">
        <f t="shared" si="26"/>
        <v>12</v>
      </c>
      <c r="ED92" s="138">
        <f t="shared" si="26"/>
        <v>9</v>
      </c>
      <c r="EE92" s="138">
        <f t="shared" si="26"/>
        <v>10</v>
      </c>
      <c r="EF92" s="138">
        <f>EF18+EF32+EF42</f>
        <v>1668</v>
      </c>
      <c r="EG92" s="138">
        <f t="shared" ref="EG92:EI92" si="27">EG18+EG32+EG42</f>
        <v>1528</v>
      </c>
      <c r="EH92" s="138">
        <f t="shared" si="27"/>
        <v>1624</v>
      </c>
      <c r="EI92" s="138">
        <f t="shared" si="27"/>
        <v>1804</v>
      </c>
      <c r="EJ92" s="138">
        <f>EJ18+EJ32+EJ42</f>
        <v>362</v>
      </c>
      <c r="EK92" s="138">
        <f t="shared" ref="EK92:EM92" si="28">EK18+EK32+EK42</f>
        <v>0</v>
      </c>
      <c r="EL92" s="138">
        <f>EL18+EL32+EL42</f>
        <v>13</v>
      </c>
      <c r="EM92" s="138">
        <f t="shared" si="28"/>
        <v>0</v>
      </c>
      <c r="EN92" s="138">
        <f>EN18+EN32+EN42</f>
        <v>3</v>
      </c>
      <c r="EO92" s="136">
        <v>1065.1000925896365</v>
      </c>
      <c r="EP92" s="136">
        <v>962.27722148749922</v>
      </c>
      <c r="EQ92" s="136">
        <v>979.25711529184764</v>
      </c>
      <c r="ER92" s="136">
        <v>1080.854378239118</v>
      </c>
      <c r="ES92" s="136">
        <v>802.20100000000002</v>
      </c>
      <c r="ET92" s="136">
        <v>660.94500000000005</v>
      </c>
      <c r="EU92" s="136">
        <v>672.14800000000002</v>
      </c>
      <c r="EV92" s="136">
        <v>705.41399999999999</v>
      </c>
      <c r="EW92" s="136">
        <v>928.29899999999998</v>
      </c>
      <c r="EX92" s="136">
        <v>796.33</v>
      </c>
      <c r="EY92" s="136">
        <v>792.13699999999994</v>
      </c>
      <c r="EZ92" s="136">
        <v>798.73500000000001</v>
      </c>
      <c r="FA92" s="136">
        <v>695.64400000000001</v>
      </c>
      <c r="FB92" s="136">
        <v>535.57600000000002</v>
      </c>
      <c r="FC92" s="136">
        <v>567.69000000000005</v>
      </c>
      <c r="FD92" s="136">
        <v>608.08699999999999</v>
      </c>
      <c r="FE92" s="138">
        <f t="shared" ref="FE92:FH92" si="29">FE18+FE32+FE42</f>
        <v>390</v>
      </c>
      <c r="FF92" s="138">
        <f t="shared" si="29"/>
        <v>396</v>
      </c>
      <c r="FG92" s="138">
        <f t="shared" si="29"/>
        <v>420</v>
      </c>
      <c r="FH92" s="138">
        <f t="shared" si="29"/>
        <v>439</v>
      </c>
      <c r="FI92" s="136">
        <v>182.63800000000001</v>
      </c>
      <c r="FJ92" s="136">
        <v>174.31</v>
      </c>
      <c r="FK92" s="136">
        <v>165.03</v>
      </c>
      <c r="FL92" s="136">
        <v>159.11600000000001</v>
      </c>
      <c r="FM92" s="138">
        <f t="shared" ref="FM92:FP92" si="30">FM18+FM32+FM42</f>
        <v>474</v>
      </c>
      <c r="FN92" s="138">
        <f t="shared" si="30"/>
        <v>397</v>
      </c>
      <c r="FO92" s="138">
        <f t="shared" si="30"/>
        <v>331</v>
      </c>
      <c r="FP92" s="138">
        <f t="shared" si="30"/>
        <v>354</v>
      </c>
      <c r="FQ92" s="136">
        <v>217.858</v>
      </c>
      <c r="FR92" s="136">
        <v>164.59</v>
      </c>
      <c r="FS92" s="136">
        <v>133.13499999999999</v>
      </c>
      <c r="FT92" s="136">
        <v>133.012</v>
      </c>
      <c r="FU92" s="138">
        <f t="shared" ref="FU92:FX92" si="31">FU18+FU32+FU42</f>
        <v>132</v>
      </c>
      <c r="FV92" s="138">
        <f t="shared" si="31"/>
        <v>91</v>
      </c>
      <c r="FW92" s="138">
        <f t="shared" si="31"/>
        <v>112</v>
      </c>
      <c r="FX92" s="138">
        <f t="shared" si="31"/>
        <v>85</v>
      </c>
      <c r="FY92" s="136">
        <v>61.000999999999998</v>
      </c>
      <c r="FZ92" s="136">
        <v>36.805</v>
      </c>
      <c r="GA92" s="136">
        <v>44.664999999999999</v>
      </c>
      <c r="GB92" s="136">
        <v>31.869</v>
      </c>
      <c r="GC92" s="138">
        <f t="shared" ref="GC92:GF92" si="32">GC18+GC32+GC42</f>
        <v>100</v>
      </c>
      <c r="GD92" s="138">
        <f t="shared" si="32"/>
        <v>84</v>
      </c>
      <c r="GE92" s="138">
        <f t="shared" si="32"/>
        <v>89</v>
      </c>
      <c r="GF92" s="138">
        <f t="shared" si="32"/>
        <v>97</v>
      </c>
      <c r="GG92" s="181">
        <v>64.144000000000005</v>
      </c>
      <c r="GH92" s="181">
        <v>46.087000000000003</v>
      </c>
      <c r="GI92" s="181">
        <v>46.796999999999997</v>
      </c>
      <c r="GJ92" s="181">
        <v>51.162999999999997</v>
      </c>
      <c r="GK92" s="181"/>
      <c r="GL92" s="222"/>
      <c r="GM92" s="222"/>
      <c r="GN92" s="222"/>
      <c r="GP92" s="222"/>
      <c r="GQ92" s="222"/>
      <c r="GR92" s="222"/>
      <c r="GS92" s="222"/>
      <c r="GU92" s="222"/>
      <c r="GV92" s="222"/>
      <c r="GW92" s="222"/>
      <c r="GX92" s="222"/>
      <c r="HE92" s="224"/>
      <c r="HF92" s="224"/>
      <c r="HG92" s="224"/>
      <c r="HH92" s="224"/>
      <c r="HI92" s="224"/>
      <c r="HJ92" s="222"/>
      <c r="HK92" s="222"/>
      <c r="HL92" s="225"/>
      <c r="HV92" s="226"/>
    </row>
    <row r="93" spans="1:230" s="128" customFormat="1" ht="108" x14ac:dyDescent="0.2">
      <c r="A93" s="132" t="s">
        <v>428</v>
      </c>
      <c r="B93" s="133" t="s">
        <v>473</v>
      </c>
      <c r="C93" s="48">
        <v>43931</v>
      </c>
      <c r="D93" s="48">
        <v>43673</v>
      </c>
      <c r="E93" s="48">
        <v>43220</v>
      </c>
      <c r="F93" s="154">
        <v>43252</v>
      </c>
      <c r="G93" s="154">
        <f>G9+G15+G40+G79+G90</f>
        <v>42965</v>
      </c>
      <c r="H93" s="154">
        <f t="shared" ref="H93:M93" si="33">H9+H15+H40+H79+H90</f>
        <v>39299</v>
      </c>
      <c r="I93" s="154">
        <f t="shared" si="33"/>
        <v>498</v>
      </c>
      <c r="J93" s="154">
        <f t="shared" si="33"/>
        <v>601</v>
      </c>
      <c r="K93" s="154">
        <f t="shared" si="33"/>
        <v>499</v>
      </c>
      <c r="L93" s="154">
        <f t="shared" si="33"/>
        <v>2068</v>
      </c>
      <c r="M93" s="154">
        <f t="shared" si="33"/>
        <v>18921</v>
      </c>
      <c r="N93" s="48">
        <f>N9+N15+N40+N79+N90</f>
        <v>18882</v>
      </c>
      <c r="O93" s="48">
        <f t="shared" ref="O93:P93" si="34">O9+O15+O40+O79+O90</f>
        <v>18776</v>
      </c>
      <c r="P93" s="48">
        <f t="shared" si="34"/>
        <v>18742</v>
      </c>
      <c r="Q93" s="48">
        <f t="shared" ref="Q93" si="35">Q9+Q15+Q40+Q79+Q90</f>
        <v>18741</v>
      </c>
      <c r="R93" s="51">
        <v>35.700000000000003</v>
      </c>
      <c r="S93" s="51">
        <v>36.299999999999997</v>
      </c>
      <c r="T93" s="51">
        <v>36.852088414044054</v>
      </c>
      <c r="U93" s="51">
        <v>37.383541885939266</v>
      </c>
      <c r="V93" s="51">
        <v>38.059021588433353</v>
      </c>
      <c r="W93" s="38">
        <v>29.9</v>
      </c>
      <c r="X93" s="38">
        <v>30.3</v>
      </c>
      <c r="Y93" s="38">
        <v>30.453296171563505</v>
      </c>
      <c r="Z93" s="38">
        <v>31.220520017151994</v>
      </c>
      <c r="AA93" s="38">
        <v>32.133095662507429</v>
      </c>
      <c r="AB93" s="51">
        <v>65.599999999999994</v>
      </c>
      <c r="AC93" s="51">
        <v>66.599999999999994</v>
      </c>
      <c r="AD93" s="51">
        <v>67.305384585607555</v>
      </c>
      <c r="AE93" s="51">
        <v>68.60406190309125</v>
      </c>
      <c r="AF93" s="51">
        <v>70.192117250940782</v>
      </c>
      <c r="AG93" s="39">
        <v>5.0831643002028395</v>
      </c>
      <c r="AH93" s="39">
        <v>4.4716313568353296</v>
      </c>
      <c r="AI93" s="39">
        <v>4.5669615305492695</v>
      </c>
      <c r="AJ93" s="39">
        <v>4.5582253532939152</v>
      </c>
      <c r="AK93" s="39">
        <v>3.9695555275219716</v>
      </c>
      <c r="AL93" s="48">
        <f>AL9+AL15+AL40+AL79+AL90</f>
        <v>1627.1666666666665</v>
      </c>
      <c r="AM93" s="48">
        <f t="shared" ref="AM93:AO93" si="36">AM9+AM15+AM40+AM79+AM90</f>
        <v>1561.9166666666667</v>
      </c>
      <c r="AN93" s="48">
        <f t="shared" si="36"/>
        <v>1511.75</v>
      </c>
      <c r="AO93" s="48">
        <f t="shared" si="36"/>
        <v>1515.6666666666665</v>
      </c>
      <c r="AP93" s="48">
        <f t="shared" ref="AP93" si="37">AP9+AP15+AP40+AP79+AP90</f>
        <v>1542.1666666666665</v>
      </c>
      <c r="AQ93" s="191">
        <v>53635.600555795994</v>
      </c>
      <c r="AR93" s="191">
        <v>49962.576445239079</v>
      </c>
      <c r="AS93" s="191">
        <v>53320.348452988888</v>
      </c>
      <c r="AT93" s="191">
        <v>51643.931378895781</v>
      </c>
      <c r="AU93" s="191">
        <v>47451.223786803217</v>
      </c>
      <c r="AV93" s="163" t="s">
        <v>144</v>
      </c>
      <c r="AW93" s="163" t="s">
        <v>144</v>
      </c>
      <c r="AX93" s="163" t="s">
        <v>144</v>
      </c>
      <c r="AY93" s="163" t="s">
        <v>144</v>
      </c>
      <c r="AZ93" s="197" t="s">
        <v>144</v>
      </c>
      <c r="BA93" s="42">
        <v>10.967756933305438</v>
      </c>
      <c r="BB93" s="42">
        <v>11.268231114435302</v>
      </c>
      <c r="BC93" s="42">
        <v>11.209787897397137</v>
      </c>
      <c r="BD93" s="42">
        <v>9.6874132988069928</v>
      </c>
      <c r="BE93" s="42">
        <v>10.482951239380892</v>
      </c>
      <c r="BF93" s="42">
        <v>15.295104308627739</v>
      </c>
      <c r="BG93" s="42">
        <v>15.617420647474429</v>
      </c>
      <c r="BH93" s="42">
        <v>15.020268828675059</v>
      </c>
      <c r="BI93" s="42">
        <v>14.179883138564273</v>
      </c>
      <c r="BJ93" s="42">
        <v>13.568773234200743</v>
      </c>
      <c r="BK93" s="157">
        <f t="shared" ref="BK93:BL93" si="38">BK9+BK15+BK40+BK79+BK90</f>
        <v>7241</v>
      </c>
      <c r="BL93" s="157">
        <f t="shared" si="38"/>
        <v>7221</v>
      </c>
      <c r="BM93" s="159">
        <f t="shared" ref="BM93:BN93" si="39">BM9+BM15+BM40+BM79+BM90</f>
        <v>7197</v>
      </c>
      <c r="BN93" s="159">
        <f t="shared" si="39"/>
        <v>7353</v>
      </c>
      <c r="BO93" s="39">
        <v>42.245546195276894</v>
      </c>
      <c r="BP93" s="39">
        <v>42.321008170613489</v>
      </c>
      <c r="BQ93" s="39">
        <v>42.323190218146451</v>
      </c>
      <c r="BR93" s="39">
        <v>40.772473820209434</v>
      </c>
      <c r="BS93" s="51">
        <v>3.2454080928048614</v>
      </c>
      <c r="BT93" s="51">
        <v>2.9497299542999587</v>
      </c>
      <c r="BU93" s="51">
        <v>3.1818813394469916</v>
      </c>
      <c r="BV93" s="51">
        <v>3.767169862641099</v>
      </c>
      <c r="BW93" s="39">
        <v>17.262809004281177</v>
      </c>
      <c r="BX93" s="39">
        <v>17.213682315468773</v>
      </c>
      <c r="BY93" s="39">
        <v>16.979296929276089</v>
      </c>
      <c r="BZ93" s="39">
        <v>19.36624507003944</v>
      </c>
      <c r="CA93" s="40">
        <v>87.675507020280804</v>
      </c>
      <c r="CB93" s="40">
        <v>88.701517706576723</v>
      </c>
      <c r="CC93" s="40">
        <v>83.495145631067956</v>
      </c>
      <c r="CD93" s="40">
        <v>85.922330097087368</v>
      </c>
      <c r="CE93" s="40">
        <v>1.40405616224649</v>
      </c>
      <c r="CF93" s="40">
        <v>2.0202020202020203</v>
      </c>
      <c r="CG93" s="40">
        <v>1.2944983818770228</v>
      </c>
      <c r="CH93" s="40">
        <v>2.1035598705501619</v>
      </c>
      <c r="CI93" s="48">
        <v>2525</v>
      </c>
      <c r="CJ93" s="48">
        <v>2634</v>
      </c>
      <c r="CK93" s="48">
        <v>2602</v>
      </c>
      <c r="CL93" s="48">
        <v>2518</v>
      </c>
      <c r="CM93" s="39">
        <v>10.256056150384246</v>
      </c>
      <c r="CN93" s="39">
        <v>11.101932090231649</v>
      </c>
      <c r="CO93" s="39">
        <v>11.546175828466959</v>
      </c>
      <c r="CP93" s="39">
        <v>11.601494648476557</v>
      </c>
      <c r="CQ93" s="127">
        <f t="shared" ref="CQ93:CT93" si="40">CQ9+CQ15+CQ40+CQ79+CQ90</f>
        <v>82</v>
      </c>
      <c r="CR93" s="127">
        <f t="shared" si="40"/>
        <v>109</v>
      </c>
      <c r="CS93" s="127">
        <f t="shared" si="40"/>
        <v>84</v>
      </c>
      <c r="CT93" s="127">
        <f t="shared" si="40"/>
        <v>94</v>
      </c>
      <c r="CU93" s="39">
        <v>3.3</v>
      </c>
      <c r="CV93" s="39">
        <v>4.3</v>
      </c>
      <c r="CW93" s="39">
        <v>3.4</v>
      </c>
      <c r="CX93" s="39">
        <v>3.9</v>
      </c>
      <c r="CY93" s="48">
        <f t="shared" ref="CY93:DB93" si="41">CY9+CY15+CY40+CY79+CY90</f>
        <v>163</v>
      </c>
      <c r="CZ93" s="48">
        <f t="shared" si="41"/>
        <v>169</v>
      </c>
      <c r="DA93" s="48">
        <f t="shared" si="41"/>
        <v>155</v>
      </c>
      <c r="DB93" s="48">
        <f t="shared" si="41"/>
        <v>162</v>
      </c>
      <c r="DC93" s="39">
        <v>6.9</v>
      </c>
      <c r="DD93" s="39">
        <v>7.5</v>
      </c>
      <c r="DE93" s="39">
        <v>6.7</v>
      </c>
      <c r="DF93" s="39">
        <v>6.7</v>
      </c>
      <c r="DG93" s="39">
        <v>84.5</v>
      </c>
      <c r="DH93" s="39">
        <v>86.5</v>
      </c>
      <c r="DI93" s="39">
        <v>87.6</v>
      </c>
      <c r="DJ93" s="39">
        <v>85.6</v>
      </c>
      <c r="DK93" s="39">
        <v>16.100000000000001</v>
      </c>
      <c r="DL93" s="39">
        <v>16.2</v>
      </c>
      <c r="DM93" s="39">
        <v>17.2</v>
      </c>
      <c r="DN93" s="39">
        <v>14.7</v>
      </c>
      <c r="DO93" s="39">
        <v>26.1</v>
      </c>
      <c r="DP93" s="39">
        <v>30.3</v>
      </c>
      <c r="DQ93" s="39">
        <v>34.4</v>
      </c>
      <c r="DR93" s="39">
        <v>35.200000000000003</v>
      </c>
      <c r="DS93" s="39">
        <v>29.3</v>
      </c>
      <c r="DT93" s="39">
        <v>25.9</v>
      </c>
      <c r="DU93" s="39">
        <v>28.9</v>
      </c>
      <c r="DV93" s="39">
        <v>18.100000000000001</v>
      </c>
      <c r="DW93" s="48">
        <f t="shared" ref="DW93" si="42">DW9+DW15+DW40+DW79+DW90</f>
        <v>418</v>
      </c>
      <c r="DX93" s="48">
        <f t="shared" ref="DX93:EA93" si="43">DX9+DX15+DX40+DX79+DX90</f>
        <v>13</v>
      </c>
      <c r="DY93" s="48">
        <f t="shared" si="43"/>
        <v>6</v>
      </c>
      <c r="DZ93" s="48">
        <f t="shared" si="43"/>
        <v>23</v>
      </c>
      <c r="EA93" s="48">
        <f t="shared" si="43"/>
        <v>49</v>
      </c>
      <c r="EB93" s="48">
        <f t="shared" ref="EB93:EE93" si="44">EB9+EB15+EB40+EB79+EB90</f>
        <v>12</v>
      </c>
      <c r="EC93" s="48">
        <f t="shared" si="44"/>
        <v>11</v>
      </c>
      <c r="ED93" s="48">
        <f t="shared" si="44"/>
        <v>12</v>
      </c>
      <c r="EE93" s="48">
        <f t="shared" si="44"/>
        <v>11</v>
      </c>
      <c r="EF93" s="48">
        <f t="shared" ref="EF93" si="45">EF9+EF15+EF40+EF79+EF90</f>
        <v>3203</v>
      </c>
      <c r="EG93" s="48">
        <f t="shared" ref="EG93:EI93" si="46">EG9+EG15+EG40+EG79+EG90</f>
        <v>2856</v>
      </c>
      <c r="EH93" s="48">
        <f t="shared" si="46"/>
        <v>2751</v>
      </c>
      <c r="EI93" s="48">
        <f t="shared" si="46"/>
        <v>2723</v>
      </c>
      <c r="EJ93" s="48">
        <f t="shared" ref="EJ93:EN93" si="47">EJ9+EJ15+EJ40+EJ79+EJ90</f>
        <v>573</v>
      </c>
      <c r="EK93" s="48">
        <f t="shared" si="47"/>
        <v>0</v>
      </c>
      <c r="EL93" s="48">
        <f t="shared" si="47"/>
        <v>9</v>
      </c>
      <c r="EM93" s="48">
        <f t="shared" si="47"/>
        <v>0</v>
      </c>
      <c r="EN93" s="48">
        <f t="shared" si="47"/>
        <v>4</v>
      </c>
      <c r="EO93" s="39">
        <v>1280.9181979964408</v>
      </c>
      <c r="EP93" s="39">
        <v>1198.4892992026857</v>
      </c>
      <c r="EQ93" s="39">
        <v>1217.5260013277273</v>
      </c>
      <c r="ER93" s="39">
        <v>1260.0647848218416</v>
      </c>
      <c r="ES93" s="39">
        <v>739.98699999999997</v>
      </c>
      <c r="ET93" s="39">
        <v>659.78599999999994</v>
      </c>
      <c r="EU93" s="39">
        <v>660.21199999999999</v>
      </c>
      <c r="EV93" s="39">
        <v>671.54499999999996</v>
      </c>
      <c r="EW93" s="39">
        <v>933.42</v>
      </c>
      <c r="EX93" s="39">
        <v>807.96600000000001</v>
      </c>
      <c r="EY93" s="39">
        <v>781.31200000000001</v>
      </c>
      <c r="EZ93" s="39">
        <v>796.59900000000005</v>
      </c>
      <c r="FA93" s="39">
        <v>590.93899999999996</v>
      </c>
      <c r="FB93" s="39">
        <v>545.14300000000003</v>
      </c>
      <c r="FC93" s="39">
        <v>561.87900000000002</v>
      </c>
      <c r="FD93" s="39">
        <v>569.678</v>
      </c>
      <c r="FE93" s="48">
        <f t="shared" ref="FE93:FH93" si="48">FE9+FE15+FE40+FE79+FE90</f>
        <v>747</v>
      </c>
      <c r="FF93" s="48">
        <f t="shared" si="48"/>
        <v>672</v>
      </c>
      <c r="FG93" s="48">
        <f t="shared" si="48"/>
        <v>621</v>
      </c>
      <c r="FH93" s="48">
        <f t="shared" si="48"/>
        <v>599</v>
      </c>
      <c r="FI93" s="39">
        <v>192.404</v>
      </c>
      <c r="FJ93" s="39">
        <v>174.672</v>
      </c>
      <c r="FK93" s="39">
        <v>162.72399999999999</v>
      </c>
      <c r="FL93" s="39">
        <v>157.85900000000001</v>
      </c>
      <c r="FM93" s="48">
        <f t="shared" ref="FM93:FP93" si="49">FM9+FM15+FM40+FM79+FM90</f>
        <v>908</v>
      </c>
      <c r="FN93" s="48">
        <f t="shared" si="49"/>
        <v>731</v>
      </c>
      <c r="FO93" s="48">
        <f t="shared" si="49"/>
        <v>650</v>
      </c>
      <c r="FP93" s="48">
        <f t="shared" si="49"/>
        <v>611</v>
      </c>
      <c r="FQ93" s="39">
        <v>197.602</v>
      </c>
      <c r="FR93" s="39">
        <v>154.55500000000001</v>
      </c>
      <c r="FS93" s="39">
        <v>143.209</v>
      </c>
      <c r="FT93" s="39">
        <v>139.69900000000001</v>
      </c>
      <c r="FU93" s="48">
        <f t="shared" ref="FU93:FX93" si="50">FU9+FU15+FU40+FU79+FU90</f>
        <v>267</v>
      </c>
      <c r="FV93" s="48">
        <f t="shared" si="50"/>
        <v>221</v>
      </c>
      <c r="FW93" s="48">
        <f t="shared" si="50"/>
        <v>176</v>
      </c>
      <c r="FX93" s="48">
        <f t="shared" si="50"/>
        <v>158</v>
      </c>
      <c r="FY93" s="39">
        <v>53.421999999999997</v>
      </c>
      <c r="FZ93" s="39">
        <v>44.206000000000003</v>
      </c>
      <c r="GA93" s="39">
        <v>37.07</v>
      </c>
      <c r="GB93" s="39">
        <v>34.375999999999998</v>
      </c>
      <c r="GC93" s="48">
        <f t="shared" ref="GC93:GF93" si="51">GC9+GC15+GC40+GC79+GC90</f>
        <v>136</v>
      </c>
      <c r="GD93" s="48">
        <f t="shared" si="51"/>
        <v>141</v>
      </c>
      <c r="GE93" s="48">
        <f t="shared" si="51"/>
        <v>144</v>
      </c>
      <c r="GF93" s="48">
        <f t="shared" si="51"/>
        <v>156</v>
      </c>
      <c r="GG93" s="182">
        <v>42.796999999999997</v>
      </c>
      <c r="GH93" s="182">
        <v>45.274000000000001</v>
      </c>
      <c r="GI93" s="182">
        <v>47.53</v>
      </c>
      <c r="GJ93" s="182">
        <v>50.707999999999998</v>
      </c>
      <c r="GK93" s="182"/>
      <c r="GL93" s="212"/>
      <c r="GM93" s="212"/>
      <c r="GN93" s="212"/>
      <c r="GP93" s="212"/>
      <c r="GQ93" s="212"/>
      <c r="GR93" s="212"/>
      <c r="GS93" s="212"/>
      <c r="GU93" s="212"/>
      <c r="GV93" s="212"/>
      <c r="GW93" s="212"/>
      <c r="GX93" s="212"/>
      <c r="HE93" s="150"/>
      <c r="HF93" s="150"/>
      <c r="HG93" s="150"/>
      <c r="HH93" s="150"/>
      <c r="HI93" s="150"/>
      <c r="HJ93" s="212"/>
      <c r="HK93" s="212"/>
      <c r="HL93" s="227"/>
      <c r="HV93" s="228"/>
    </row>
    <row r="94" spans="1:230" s="128" customFormat="1" ht="36" x14ac:dyDescent="0.2">
      <c r="A94" s="132" t="s">
        <v>429</v>
      </c>
      <c r="B94" s="133" t="s">
        <v>460</v>
      </c>
      <c r="C94" s="48">
        <v>58364</v>
      </c>
      <c r="D94" s="48">
        <v>58385</v>
      </c>
      <c r="E94" s="48">
        <v>58660</v>
      </c>
      <c r="F94" s="154">
        <v>58906</v>
      </c>
      <c r="G94" s="154">
        <f>G11+G55</f>
        <v>59160</v>
      </c>
      <c r="H94" s="154">
        <f t="shared" ref="H94:N94" si="52">H11+H55</f>
        <v>54068</v>
      </c>
      <c r="I94" s="154">
        <f t="shared" si="52"/>
        <v>1470</v>
      </c>
      <c r="J94" s="154">
        <f t="shared" si="52"/>
        <v>165</v>
      </c>
      <c r="K94" s="154">
        <f t="shared" si="52"/>
        <v>811</v>
      </c>
      <c r="L94" s="154">
        <f t="shared" si="52"/>
        <v>2646</v>
      </c>
      <c r="M94" s="154">
        <f t="shared" si="52"/>
        <v>23116</v>
      </c>
      <c r="N94" s="154">
        <f t="shared" si="52"/>
        <v>23320</v>
      </c>
      <c r="O94" s="48">
        <f t="shared" ref="O94:P94" si="53">O11+O55</f>
        <v>23454</v>
      </c>
      <c r="P94" s="48">
        <f t="shared" si="53"/>
        <v>23584</v>
      </c>
      <c r="Q94" s="48">
        <f t="shared" ref="Q94" si="54">Q11+Q55</f>
        <v>23734</v>
      </c>
      <c r="R94" s="51">
        <v>24.8</v>
      </c>
      <c r="S94" s="51">
        <v>25.3</v>
      </c>
      <c r="T94" s="51">
        <v>26.275992438563328</v>
      </c>
      <c r="U94" s="51">
        <v>27.251567170100778</v>
      </c>
      <c r="V94" s="51">
        <v>28.000423807379548</v>
      </c>
      <c r="W94" s="38">
        <v>28.2</v>
      </c>
      <c r="X94" s="38">
        <v>27.8</v>
      </c>
      <c r="Y94" s="38">
        <v>27.735769796261287</v>
      </c>
      <c r="Z94" s="38">
        <v>28.555558494458701</v>
      </c>
      <c r="AA94" s="38">
        <v>28.702354779752604</v>
      </c>
      <c r="AB94" s="51">
        <v>52.9</v>
      </c>
      <c r="AC94" s="51">
        <v>53.1</v>
      </c>
      <c r="AD94" s="51">
        <v>54.011762234824609</v>
      </c>
      <c r="AE94" s="51">
        <v>55.807125664559479</v>
      </c>
      <c r="AF94" s="51">
        <v>56.702778587132151</v>
      </c>
      <c r="AG94" s="39">
        <v>4.30110583619979</v>
      </c>
      <c r="AH94" s="39">
        <v>3.6218430436448297</v>
      </c>
      <c r="AI94" s="39">
        <v>3.2849020846494001</v>
      </c>
      <c r="AJ94" s="39">
        <v>3.3825373304456856</v>
      </c>
      <c r="AK94" s="39">
        <v>3.1284567603596449</v>
      </c>
      <c r="AL94" s="48">
        <f>AL11+AL55</f>
        <v>1894.75</v>
      </c>
      <c r="AM94" s="48">
        <f t="shared" ref="AM94:AO94" si="55">AM11+AM55</f>
        <v>1786.5</v>
      </c>
      <c r="AN94" s="48">
        <f t="shared" si="55"/>
        <v>1711.9166666666665</v>
      </c>
      <c r="AO94" s="48">
        <f t="shared" si="55"/>
        <v>1653.25</v>
      </c>
      <c r="AP94" s="48">
        <f t="shared" ref="AP94" si="56">AP11+AP55</f>
        <v>1594.0833333333335</v>
      </c>
      <c r="AQ94" s="191">
        <v>46843.944678292239</v>
      </c>
      <c r="AR94" s="191">
        <v>46887.587172569241</v>
      </c>
      <c r="AS94" s="191">
        <v>48586.622160155319</v>
      </c>
      <c r="AT94" s="191">
        <v>48393.423759888639</v>
      </c>
      <c r="AU94" s="191">
        <v>50008.171399594328</v>
      </c>
      <c r="AV94" s="163" t="s">
        <v>144</v>
      </c>
      <c r="AW94" s="163" t="s">
        <v>144</v>
      </c>
      <c r="AX94" s="163" t="s">
        <v>144</v>
      </c>
      <c r="AY94" s="163" t="s">
        <v>144</v>
      </c>
      <c r="AZ94" s="197" t="s">
        <v>144</v>
      </c>
      <c r="BA94" s="42">
        <v>10.612230058896241</v>
      </c>
      <c r="BB94" s="42">
        <v>9.6111545383482699</v>
      </c>
      <c r="BC94" s="42">
        <v>9.6052869817128386</v>
      </c>
      <c r="BD94" s="42">
        <v>7.6104301768919971</v>
      </c>
      <c r="BE94" s="42">
        <v>7.9530087897227864</v>
      </c>
      <c r="BF94" s="42">
        <v>11.670898127578546</v>
      </c>
      <c r="BG94" s="42">
        <v>11.557829110382862</v>
      </c>
      <c r="BH94" s="42">
        <v>11.165203511572226</v>
      </c>
      <c r="BI94" s="42">
        <v>10.578995996304281</v>
      </c>
      <c r="BJ94" s="42">
        <v>9.4990041366630926</v>
      </c>
      <c r="BK94" s="157">
        <f t="shared" ref="BK94:BL94" si="57">BK11+BK55</f>
        <v>5919</v>
      </c>
      <c r="BL94" s="157">
        <f t="shared" si="57"/>
        <v>6107</v>
      </c>
      <c r="BM94" s="159">
        <f t="shared" ref="BM94:BN94" si="58">BM11+BM55</f>
        <v>6047</v>
      </c>
      <c r="BN94" s="159">
        <f t="shared" si="58"/>
        <v>8638</v>
      </c>
      <c r="BO94" s="39">
        <v>36.644703497212369</v>
      </c>
      <c r="BP94" s="39">
        <v>37.252333387915506</v>
      </c>
      <c r="BQ94" s="39">
        <v>36.712419381511495</v>
      </c>
      <c r="BR94" s="39">
        <v>33.850428339893497</v>
      </c>
      <c r="BS94" s="51">
        <v>2.4159486399729686</v>
      </c>
      <c r="BT94" s="51">
        <v>2.7836908465695105</v>
      </c>
      <c r="BU94" s="51">
        <v>3.6547048123036214</v>
      </c>
      <c r="BV94" s="51">
        <v>4.5380875202593192</v>
      </c>
      <c r="BW94" s="39">
        <v>17.401588106099002</v>
      </c>
      <c r="BX94" s="39">
        <v>17.520877681349273</v>
      </c>
      <c r="BY94" s="39">
        <v>15.247230031420539</v>
      </c>
      <c r="BZ94" s="39">
        <v>17.133595739754572</v>
      </c>
      <c r="CA94" s="40">
        <v>88.388625592417057</v>
      </c>
      <c r="CB94" s="40">
        <v>88.761467889908246</v>
      </c>
      <c r="CC94" s="40">
        <v>85.13513513513513</v>
      </c>
      <c r="CD94" s="40">
        <v>88.015717092337923</v>
      </c>
      <c r="CE94" s="40">
        <v>4.5023696682464456</v>
      </c>
      <c r="CF94" s="40">
        <v>5.4421768707482991</v>
      </c>
      <c r="CG94" s="40">
        <v>5.6306306306306304</v>
      </c>
      <c r="CH94" s="40">
        <v>5.3045186640471513</v>
      </c>
      <c r="CI94" s="48">
        <v>3234</v>
      </c>
      <c r="CJ94" s="48">
        <v>3474</v>
      </c>
      <c r="CK94" s="48">
        <v>3381</v>
      </c>
      <c r="CL94" s="48">
        <v>3327</v>
      </c>
      <c r="CM94" s="39">
        <v>11.410909167892791</v>
      </c>
      <c r="CN94" s="39">
        <v>12.080158843309144</v>
      </c>
      <c r="CO94" s="39">
        <v>11.60882284270234</v>
      </c>
      <c r="CP94" s="39">
        <v>11.336570406337847</v>
      </c>
      <c r="CQ94" s="127">
        <f t="shared" ref="CQ94:CT94" si="59">CQ11+CQ55</f>
        <v>115</v>
      </c>
      <c r="CR94" s="127">
        <f t="shared" si="59"/>
        <v>147</v>
      </c>
      <c r="CS94" s="127">
        <f t="shared" si="59"/>
        <v>122</v>
      </c>
      <c r="CT94" s="127">
        <f t="shared" si="59"/>
        <v>135</v>
      </c>
      <c r="CU94" s="39">
        <v>3.7</v>
      </c>
      <c r="CV94" s="39">
        <v>4.4000000000000004</v>
      </c>
      <c r="CW94" s="39">
        <v>3.7</v>
      </c>
      <c r="CX94" s="39">
        <v>4.2</v>
      </c>
      <c r="CY94" s="48">
        <f t="shared" ref="CY94:DB94" si="60">CY11+CY55</f>
        <v>197</v>
      </c>
      <c r="CZ94" s="48">
        <f t="shared" si="60"/>
        <v>293</v>
      </c>
      <c r="DA94" s="48">
        <f t="shared" si="60"/>
        <v>220</v>
      </c>
      <c r="DB94" s="48">
        <f t="shared" si="60"/>
        <v>187</v>
      </c>
      <c r="DC94" s="39">
        <v>6.5</v>
      </c>
      <c r="DD94" s="39">
        <v>9</v>
      </c>
      <c r="DE94" s="39">
        <v>6.9</v>
      </c>
      <c r="DF94" s="39">
        <v>5.9</v>
      </c>
      <c r="DG94" s="39">
        <v>87.5</v>
      </c>
      <c r="DH94" s="39">
        <v>89.6</v>
      </c>
      <c r="DI94" s="39">
        <v>89.8</v>
      </c>
      <c r="DJ94" s="39">
        <v>87.2</v>
      </c>
      <c r="DK94" s="39">
        <v>12.6</v>
      </c>
      <c r="DL94" s="39">
        <v>10.6</v>
      </c>
      <c r="DM94" s="39">
        <v>11.2</v>
      </c>
      <c r="DN94" s="39">
        <v>10.199999999999999</v>
      </c>
      <c r="DO94" s="39">
        <v>23.4</v>
      </c>
      <c r="DP94" s="39">
        <v>27.7</v>
      </c>
      <c r="DQ94" s="39">
        <v>31.5</v>
      </c>
      <c r="DR94" s="39">
        <v>30.6</v>
      </c>
      <c r="DS94" s="39">
        <v>18.7</v>
      </c>
      <c r="DT94" s="39">
        <v>17.899999999999999</v>
      </c>
      <c r="DU94" s="39">
        <v>16.2</v>
      </c>
      <c r="DV94" s="39">
        <v>11.2</v>
      </c>
      <c r="DW94" s="48">
        <f t="shared" ref="DW94" si="61">DW11+DW55</f>
        <v>560</v>
      </c>
      <c r="DX94" s="48">
        <f t="shared" ref="DX94:EA94" si="62">DX11+DX55</f>
        <v>33</v>
      </c>
      <c r="DY94" s="48">
        <f t="shared" si="62"/>
        <v>1</v>
      </c>
      <c r="DZ94" s="48">
        <f t="shared" si="62"/>
        <v>7</v>
      </c>
      <c r="EA94" s="48">
        <f t="shared" si="62"/>
        <v>50</v>
      </c>
      <c r="EB94" s="48">
        <f t="shared" ref="EB94:EE94" si="63">EB11+EB55</f>
        <v>10</v>
      </c>
      <c r="EC94" s="48">
        <f t="shared" si="63"/>
        <v>17</v>
      </c>
      <c r="ED94" s="48">
        <f t="shared" si="63"/>
        <v>19</v>
      </c>
      <c r="EE94" s="48">
        <f t="shared" si="63"/>
        <v>13</v>
      </c>
      <c r="EF94" s="48">
        <f t="shared" ref="EF94" si="64">EF11+EF55</f>
        <v>2278</v>
      </c>
      <c r="EG94" s="48">
        <f t="shared" ref="EG94:EI94" si="65">EG11+EG55</f>
        <v>2409</v>
      </c>
      <c r="EH94" s="48">
        <f t="shared" si="65"/>
        <v>2435</v>
      </c>
      <c r="EI94" s="48">
        <f t="shared" si="65"/>
        <v>2632</v>
      </c>
      <c r="EJ94" s="48">
        <f t="shared" ref="EJ94:EN94" si="66">EJ11+EJ55</f>
        <v>532</v>
      </c>
      <c r="EK94" s="48">
        <f t="shared" si="66"/>
        <v>0</v>
      </c>
      <c r="EL94" s="48">
        <f t="shared" si="66"/>
        <v>0</v>
      </c>
      <c r="EM94" s="48">
        <f t="shared" si="66"/>
        <v>2</v>
      </c>
      <c r="EN94" s="48">
        <f t="shared" si="66"/>
        <v>7</v>
      </c>
      <c r="EO94" s="39">
        <v>803.78250591016547</v>
      </c>
      <c r="EP94" s="39">
        <v>839.63612282597342</v>
      </c>
      <c r="EQ94" s="39">
        <v>830.77447969976129</v>
      </c>
      <c r="ER94" s="39">
        <v>897.37470167064441</v>
      </c>
      <c r="ES94" s="39">
        <v>701.55200000000002</v>
      </c>
      <c r="ET94" s="39">
        <v>660.41800000000001</v>
      </c>
      <c r="EU94" s="39">
        <v>618.66899999999998</v>
      </c>
      <c r="EV94" s="39">
        <v>620.05100000000004</v>
      </c>
      <c r="EW94" s="39">
        <v>887.99</v>
      </c>
      <c r="EX94" s="39">
        <v>761.36400000000003</v>
      </c>
      <c r="EY94" s="39">
        <v>772.12599999999998</v>
      </c>
      <c r="EZ94" s="39">
        <v>738.14599999999996</v>
      </c>
      <c r="FA94" s="39">
        <v>570.80100000000004</v>
      </c>
      <c r="FB94" s="39">
        <v>576.67600000000004</v>
      </c>
      <c r="FC94" s="39">
        <v>499.911</v>
      </c>
      <c r="FD94" s="39">
        <v>520.625</v>
      </c>
      <c r="FE94" s="48">
        <f t="shared" ref="FE94:FH94" si="67">FE11+FE55</f>
        <v>588</v>
      </c>
      <c r="FF94" s="48">
        <f t="shared" si="67"/>
        <v>594</v>
      </c>
      <c r="FG94" s="48">
        <f t="shared" si="67"/>
        <v>552</v>
      </c>
      <c r="FH94" s="48">
        <f t="shared" si="67"/>
        <v>592</v>
      </c>
      <c r="FI94" s="39">
        <v>189.489</v>
      </c>
      <c r="FJ94" s="39">
        <v>173.536</v>
      </c>
      <c r="FK94" s="39">
        <v>150.08500000000001</v>
      </c>
      <c r="FL94" s="39">
        <v>145.411</v>
      </c>
      <c r="FM94" s="48">
        <f t="shared" ref="FM94:FP94" si="68">FM11+FM55</f>
        <v>606</v>
      </c>
      <c r="FN94" s="48">
        <f t="shared" si="68"/>
        <v>562</v>
      </c>
      <c r="FO94" s="48">
        <f t="shared" si="68"/>
        <v>496</v>
      </c>
      <c r="FP94" s="48">
        <f t="shared" si="68"/>
        <v>520</v>
      </c>
      <c r="FQ94" s="39">
        <v>181.233</v>
      </c>
      <c r="FR94" s="39">
        <v>146.946</v>
      </c>
      <c r="FS94" s="39">
        <v>119.366</v>
      </c>
      <c r="FT94" s="39">
        <v>119.551</v>
      </c>
      <c r="FU94" s="48">
        <f t="shared" ref="FU94:FX94" si="69">FU11+FU55</f>
        <v>161</v>
      </c>
      <c r="FV94" s="48">
        <f t="shared" si="69"/>
        <v>166</v>
      </c>
      <c r="FW94" s="48">
        <f t="shared" si="69"/>
        <v>160</v>
      </c>
      <c r="FX94" s="48">
        <f t="shared" si="69"/>
        <v>153</v>
      </c>
      <c r="FY94" s="39">
        <v>47.625999999999998</v>
      </c>
      <c r="FZ94" s="39">
        <v>41.942999999999998</v>
      </c>
      <c r="GA94" s="39">
        <v>36.83</v>
      </c>
      <c r="GB94" s="39">
        <v>34.055</v>
      </c>
      <c r="GC94" s="48">
        <f t="shared" ref="GC94:GF94" si="70">GC11+GC55</f>
        <v>72</v>
      </c>
      <c r="GD94" s="48">
        <f t="shared" si="70"/>
        <v>107</v>
      </c>
      <c r="GE94" s="48">
        <f t="shared" si="70"/>
        <v>96</v>
      </c>
      <c r="GF94" s="48">
        <f t="shared" si="70"/>
        <v>122</v>
      </c>
      <c r="GG94" s="182">
        <v>22.859000000000002</v>
      </c>
      <c r="GH94" s="182">
        <v>30.966999999999999</v>
      </c>
      <c r="GI94" s="182">
        <v>28.331</v>
      </c>
      <c r="GJ94" s="182">
        <v>33.387999999999998</v>
      </c>
      <c r="GK94" s="182"/>
      <c r="GL94" s="212"/>
      <c r="GM94" s="212"/>
      <c r="GN94" s="212"/>
      <c r="GP94" s="212"/>
      <c r="GQ94" s="212"/>
      <c r="GR94" s="212"/>
      <c r="GS94" s="212"/>
      <c r="GU94" s="212"/>
      <c r="GV94" s="212"/>
      <c r="GW94" s="212"/>
      <c r="GX94" s="212"/>
      <c r="HE94" s="150"/>
      <c r="HF94" s="150"/>
      <c r="HG94" s="150"/>
      <c r="HH94" s="150"/>
      <c r="HI94" s="150"/>
      <c r="HJ94" s="212"/>
      <c r="HK94" s="212"/>
      <c r="HL94" s="227"/>
      <c r="HV94" s="228"/>
    </row>
    <row r="95" spans="1:230" s="128" customFormat="1" ht="48" x14ac:dyDescent="0.2">
      <c r="A95" s="132" t="s">
        <v>430</v>
      </c>
      <c r="B95" s="133" t="s">
        <v>461</v>
      </c>
      <c r="C95" s="48">
        <v>251977</v>
      </c>
      <c r="D95" s="48">
        <v>252433</v>
      </c>
      <c r="E95" s="48">
        <v>251825</v>
      </c>
      <c r="F95" s="154">
        <v>251629</v>
      </c>
      <c r="G95" s="154">
        <f>G12+G19+G41+G72</f>
        <v>251420</v>
      </c>
      <c r="H95" s="154">
        <f t="shared" ref="H95:L95" si="71">H12+H19+H41+H72</f>
        <v>231333</v>
      </c>
      <c r="I95" s="154">
        <f t="shared" si="71"/>
        <v>5139</v>
      </c>
      <c r="J95" s="154">
        <f t="shared" si="71"/>
        <v>7655</v>
      </c>
      <c r="K95" s="154">
        <f t="shared" si="71"/>
        <v>2977</v>
      </c>
      <c r="L95" s="154">
        <f t="shared" si="71"/>
        <v>4316</v>
      </c>
      <c r="M95" s="48">
        <f>M12+M19+M41+M72</f>
        <v>106376</v>
      </c>
      <c r="N95" s="48">
        <f>N12+N19+N41+N72</f>
        <v>106707</v>
      </c>
      <c r="O95" s="48">
        <f t="shared" ref="O95:P95" si="72">O12+O19+O41+O72</f>
        <v>106710</v>
      </c>
      <c r="P95" s="48">
        <f t="shared" si="72"/>
        <v>107061</v>
      </c>
      <c r="Q95" s="48">
        <f t="shared" ref="Q95" si="73">Q12+Q19+Q41+Q72</f>
        <v>107346</v>
      </c>
      <c r="R95" s="51">
        <v>25.9</v>
      </c>
      <c r="S95" s="51">
        <v>26.5</v>
      </c>
      <c r="T95" s="51">
        <v>27.346667873412372</v>
      </c>
      <c r="U95" s="51">
        <v>28.31714127545154</v>
      </c>
      <c r="V95" s="51">
        <v>29.302802167123776</v>
      </c>
      <c r="W95" s="38">
        <v>24.6</v>
      </c>
      <c r="X95" s="38">
        <v>24.7</v>
      </c>
      <c r="Y95" s="38">
        <v>24.597701149425287</v>
      </c>
      <c r="Z95" s="38">
        <v>24.759552503026505</v>
      </c>
      <c r="AA95" s="38">
        <v>24.960578226909885</v>
      </c>
      <c r="AB95" s="51">
        <v>50.5</v>
      </c>
      <c r="AC95" s="51">
        <v>51.2</v>
      </c>
      <c r="AD95" s="51">
        <v>51.94436902283767</v>
      </c>
      <c r="AE95" s="51">
        <v>53.076693778478045</v>
      </c>
      <c r="AF95" s="51">
        <v>54.263380394033653</v>
      </c>
      <c r="AG95" s="39">
        <v>6.2109966676764614</v>
      </c>
      <c r="AH95" s="39">
        <v>5.0369433119327676</v>
      </c>
      <c r="AI95" s="39">
        <v>4.9729965972590762</v>
      </c>
      <c r="AJ95" s="39">
        <v>5.75253938803107</v>
      </c>
      <c r="AK95" s="39">
        <v>4.8070529518981795</v>
      </c>
      <c r="AL95" s="48">
        <f>AL12+AL19+AL41+AL72</f>
        <v>15463.416666666666</v>
      </c>
      <c r="AM95" s="48">
        <f t="shared" ref="AM95:AO95" si="74">AM12+AM19+AM41+AM72</f>
        <v>13621.833333333332</v>
      </c>
      <c r="AN95" s="48">
        <f t="shared" si="74"/>
        <v>12554.416666666666</v>
      </c>
      <c r="AO95" s="48">
        <f t="shared" si="74"/>
        <v>12293.833333333334</v>
      </c>
      <c r="AP95" s="48">
        <f t="shared" ref="AP95" si="75">AP12+AP19+AP41+AP72</f>
        <v>12090.833333333334</v>
      </c>
      <c r="AQ95" s="191">
        <v>41918.470764796271</v>
      </c>
      <c r="AR95" s="191">
        <v>42745.357872561581</v>
      </c>
      <c r="AS95" s="191">
        <v>43862.114291619306</v>
      </c>
      <c r="AT95" s="191">
        <v>43806.225951698732</v>
      </c>
      <c r="AU95" s="191">
        <v>45527.917269906939</v>
      </c>
      <c r="AV95" s="163" t="s">
        <v>144</v>
      </c>
      <c r="AW95" s="163" t="s">
        <v>144</v>
      </c>
      <c r="AX95" s="163" t="s">
        <v>144</v>
      </c>
      <c r="AY95" s="163" t="s">
        <v>144</v>
      </c>
      <c r="AZ95" s="197" t="s">
        <v>144</v>
      </c>
      <c r="BA95" s="42">
        <v>15.545447026714085</v>
      </c>
      <c r="BB95" s="42">
        <v>15.922557644379157</v>
      </c>
      <c r="BC95" s="42">
        <v>12.852285981354797</v>
      </c>
      <c r="BD95" s="42">
        <v>13.16144005659125</v>
      </c>
      <c r="BE95" s="42">
        <v>12.856972396786254</v>
      </c>
      <c r="BF95" s="42">
        <v>18.080996884735203</v>
      </c>
      <c r="BG95" s="42">
        <v>18.63138308869134</v>
      </c>
      <c r="BH95" s="42">
        <v>14.73422378294768</v>
      </c>
      <c r="BI95" s="42">
        <v>15.271668295861845</v>
      </c>
      <c r="BJ95" s="42">
        <v>13.24295077281173</v>
      </c>
      <c r="BK95" s="157">
        <f t="shared" ref="BK95:BL95" si="76">BK12+BK19+BK41+BK72</f>
        <v>33397</v>
      </c>
      <c r="BL95" s="157">
        <f t="shared" si="76"/>
        <v>33395</v>
      </c>
      <c r="BM95" s="159">
        <f t="shared" ref="BM95:BN95" si="77">BM12+BM19+BM41+BM72</f>
        <v>32837</v>
      </c>
      <c r="BN95" s="159">
        <f t="shared" si="77"/>
        <v>33927</v>
      </c>
      <c r="BO95" s="39">
        <v>40.341946881456415</v>
      </c>
      <c r="BP95" s="39">
        <v>39.350202126066776</v>
      </c>
      <c r="BQ95" s="39">
        <v>38.036361421567136</v>
      </c>
      <c r="BR95" s="39">
        <v>37.686798125386858</v>
      </c>
      <c r="BS95" s="51">
        <v>0.20660538371710033</v>
      </c>
      <c r="BT95" s="51">
        <v>0.22458451864051504</v>
      </c>
      <c r="BU95" s="51">
        <v>0.24971830556993635</v>
      </c>
      <c r="BV95" s="51">
        <v>0.27117045421051078</v>
      </c>
      <c r="BW95" s="39">
        <v>16.402670898583704</v>
      </c>
      <c r="BX95" s="39">
        <v>16.634226680640815</v>
      </c>
      <c r="BY95" s="39">
        <v>16.097694673691262</v>
      </c>
      <c r="BZ95" s="39">
        <v>17.717452176732394</v>
      </c>
      <c r="CA95" s="40">
        <v>81.230650154798766</v>
      </c>
      <c r="CB95" s="40">
        <v>80.773606370875996</v>
      </c>
      <c r="CC95" s="40">
        <v>81.922196796338682</v>
      </c>
      <c r="CD95" s="40">
        <v>83.101391650099401</v>
      </c>
      <c r="CE95" s="40">
        <v>5.6501547987616103</v>
      </c>
      <c r="CF95" s="40">
        <v>7.1428571428571432</v>
      </c>
      <c r="CG95" s="40">
        <v>5.5682684973302825</v>
      </c>
      <c r="CH95" s="40">
        <v>5.1292246520874754</v>
      </c>
      <c r="CI95" s="48">
        <v>12633</v>
      </c>
      <c r="CJ95" s="48">
        <v>13401</v>
      </c>
      <c r="CK95" s="48">
        <v>13285</v>
      </c>
      <c r="CL95" s="48">
        <v>12606</v>
      </c>
      <c r="CM95" s="39">
        <v>10.298764441748759</v>
      </c>
      <c r="CN95" s="39">
        <v>10.828854643171422</v>
      </c>
      <c r="CO95" s="39">
        <v>10.627192333382663</v>
      </c>
      <c r="CP95" s="39">
        <v>9.9628782807514753</v>
      </c>
      <c r="CQ95" s="127">
        <f t="shared" ref="CQ95:CT95" si="78">CQ12+CQ19+CQ41+CQ72</f>
        <v>577</v>
      </c>
      <c r="CR95" s="127">
        <f t="shared" si="78"/>
        <v>576</v>
      </c>
      <c r="CS95" s="127">
        <f t="shared" si="78"/>
        <v>600</v>
      </c>
      <c r="CT95" s="127">
        <f t="shared" si="78"/>
        <v>606</v>
      </c>
      <c r="CU95" s="39">
        <v>4.7</v>
      </c>
      <c r="CV95" s="39">
        <v>4.4000000000000004</v>
      </c>
      <c r="CW95" s="39">
        <v>4.7</v>
      </c>
      <c r="CX95" s="39">
        <v>5</v>
      </c>
      <c r="CY95" s="48">
        <f t="shared" ref="CY95:DB95" si="79">CY12+CY19+CY41+CY72</f>
        <v>949</v>
      </c>
      <c r="CZ95" s="48">
        <f t="shared" si="79"/>
        <v>1167</v>
      </c>
      <c r="DA95" s="48">
        <f t="shared" si="79"/>
        <v>933</v>
      </c>
      <c r="DB95" s="48">
        <f t="shared" si="79"/>
        <v>871</v>
      </c>
      <c r="DC95" s="39">
        <v>8.3000000000000007</v>
      </c>
      <c r="DD95" s="39">
        <v>9.5</v>
      </c>
      <c r="DE95" s="39">
        <v>7.7</v>
      </c>
      <c r="DF95" s="39">
        <v>7.2</v>
      </c>
      <c r="DG95" s="39">
        <v>87.5</v>
      </c>
      <c r="DH95" s="39">
        <v>88.6</v>
      </c>
      <c r="DI95" s="39">
        <v>87.8</v>
      </c>
      <c r="DJ95" s="39">
        <v>86.3</v>
      </c>
      <c r="DK95" s="39">
        <v>21.9</v>
      </c>
      <c r="DL95" s="39">
        <v>22.1</v>
      </c>
      <c r="DM95" s="39">
        <v>19.600000000000001</v>
      </c>
      <c r="DN95" s="39">
        <v>18.7</v>
      </c>
      <c r="DO95" s="39">
        <v>33.4</v>
      </c>
      <c r="DP95" s="39">
        <v>38</v>
      </c>
      <c r="DQ95" s="39">
        <v>39.700000000000003</v>
      </c>
      <c r="DR95" s="39">
        <v>39.700000000000003</v>
      </c>
      <c r="DS95" s="39">
        <v>25.2</v>
      </c>
      <c r="DT95" s="39">
        <v>24.7</v>
      </c>
      <c r="DU95" s="39">
        <v>21.6</v>
      </c>
      <c r="DV95" s="39">
        <v>15.1</v>
      </c>
      <c r="DW95" s="48">
        <f t="shared" ref="DW95" si="80">DW12+DW19+DW41+DW72</f>
        <v>2202</v>
      </c>
      <c r="DX95" s="48">
        <f t="shared" ref="DX95:EA95" si="81">DX12+DX19+DX41+DX72</f>
        <v>82</v>
      </c>
      <c r="DY95" s="48">
        <f t="shared" si="81"/>
        <v>136</v>
      </c>
      <c r="DZ95" s="48">
        <f t="shared" si="81"/>
        <v>28</v>
      </c>
      <c r="EA95" s="48">
        <f t="shared" si="81"/>
        <v>45</v>
      </c>
      <c r="EB95" s="48">
        <f t="shared" ref="EB95:EE95" si="82">EB12+EB19+EB41+EB72</f>
        <v>82</v>
      </c>
      <c r="EC95" s="48">
        <f t="shared" si="82"/>
        <v>67</v>
      </c>
      <c r="ED95" s="48">
        <f t="shared" si="82"/>
        <v>63</v>
      </c>
      <c r="EE95" s="48">
        <f t="shared" si="82"/>
        <v>79</v>
      </c>
      <c r="EF95" s="48">
        <f t="shared" ref="EF95" si="83">EF12+EF19+EF41+EF72</f>
        <v>13474</v>
      </c>
      <c r="EG95" s="48">
        <f t="shared" ref="EG95:EI95" si="84">EG12+EG19+EG41+EG72</f>
        <v>13075</v>
      </c>
      <c r="EH95" s="48">
        <f t="shared" si="84"/>
        <v>13083</v>
      </c>
      <c r="EI95" s="48">
        <f t="shared" si="84"/>
        <v>13228</v>
      </c>
      <c r="EJ95" s="48">
        <f t="shared" ref="EJ95:EN95" si="85">EJ12+EJ19+EJ41+EJ72</f>
        <v>2560</v>
      </c>
      <c r="EK95" s="48">
        <f t="shared" si="85"/>
        <v>16</v>
      </c>
      <c r="EL95" s="48">
        <f t="shared" si="85"/>
        <v>88</v>
      </c>
      <c r="EM95" s="48">
        <f t="shared" si="85"/>
        <v>2</v>
      </c>
      <c r="EN95" s="48">
        <f t="shared" si="85"/>
        <v>4</v>
      </c>
      <c r="EO95" s="39">
        <v>1084.7539498842709</v>
      </c>
      <c r="EP95" s="39">
        <v>1055.5932312859265</v>
      </c>
      <c r="EQ95" s="39">
        <v>1039.7609416103062</v>
      </c>
      <c r="ER95" s="39">
        <v>1050.5708329196864</v>
      </c>
      <c r="ES95" s="39">
        <v>838.38</v>
      </c>
      <c r="ET95" s="39">
        <v>776.93700000000001</v>
      </c>
      <c r="EU95" s="39">
        <v>762.78200000000004</v>
      </c>
      <c r="EV95" s="39">
        <v>750.60599999999999</v>
      </c>
      <c r="EW95" s="39">
        <v>1030.183</v>
      </c>
      <c r="EX95" s="39">
        <v>937.16</v>
      </c>
      <c r="EY95" s="39">
        <v>905.53499999999997</v>
      </c>
      <c r="EZ95" s="39">
        <v>888.71199999999999</v>
      </c>
      <c r="FA95" s="39">
        <v>692.13400000000001</v>
      </c>
      <c r="FB95" s="39">
        <v>653.178</v>
      </c>
      <c r="FC95" s="39">
        <v>646.86300000000006</v>
      </c>
      <c r="FD95" s="39">
        <v>633.702</v>
      </c>
      <c r="FE95" s="48">
        <f t="shared" ref="FE95:FH95" si="86">FE12+FE19+FE41+FE72</f>
        <v>3042</v>
      </c>
      <c r="FF95" s="48">
        <f t="shared" si="86"/>
        <v>3119</v>
      </c>
      <c r="FG95" s="48">
        <f t="shared" si="86"/>
        <v>3073</v>
      </c>
      <c r="FH95" s="48">
        <f t="shared" si="86"/>
        <v>3000</v>
      </c>
      <c r="FI95" s="39">
        <v>195.523</v>
      </c>
      <c r="FJ95" s="39">
        <v>194.27199999999999</v>
      </c>
      <c r="FK95" s="39">
        <v>183.53299999999999</v>
      </c>
      <c r="FL95" s="39">
        <v>170.22</v>
      </c>
      <c r="FM95" s="48">
        <f t="shared" ref="FM95:FP95" si="87">FM12+FM19+FM41+FM72</f>
        <v>3489</v>
      </c>
      <c r="FN95" s="48">
        <f t="shared" si="87"/>
        <v>3165</v>
      </c>
      <c r="FO95" s="48">
        <f t="shared" si="87"/>
        <v>2788</v>
      </c>
      <c r="FP95" s="48">
        <f t="shared" si="87"/>
        <v>2515</v>
      </c>
      <c r="FQ95" s="39">
        <v>210.68700000000001</v>
      </c>
      <c r="FR95" s="39">
        <v>179.22300000000001</v>
      </c>
      <c r="FS95" s="39">
        <v>157.37299999999999</v>
      </c>
      <c r="FT95" s="39">
        <v>136.22499999999999</v>
      </c>
      <c r="FU95" s="48">
        <f t="shared" ref="FU95:FX95" si="88">FU12+FU19+FU41+FU72</f>
        <v>981</v>
      </c>
      <c r="FV95" s="48">
        <f t="shared" si="88"/>
        <v>763</v>
      </c>
      <c r="FW95" s="48">
        <f t="shared" si="88"/>
        <v>638</v>
      </c>
      <c r="FX95" s="48">
        <f t="shared" si="88"/>
        <v>644</v>
      </c>
      <c r="FY95" s="39">
        <v>57.253</v>
      </c>
      <c r="FZ95" s="39">
        <v>42.454999999999998</v>
      </c>
      <c r="GA95" s="39">
        <v>34.860999999999997</v>
      </c>
      <c r="GB95" s="39">
        <v>34.930999999999997</v>
      </c>
      <c r="GC95" s="48">
        <f t="shared" ref="GC95:GF95" si="89">GC12+GC19+GC41+GC72</f>
        <v>589</v>
      </c>
      <c r="GD95" s="48">
        <f t="shared" si="89"/>
        <v>594</v>
      </c>
      <c r="GE95" s="48">
        <f t="shared" si="89"/>
        <v>658</v>
      </c>
      <c r="GF95" s="48">
        <f t="shared" si="89"/>
        <v>737</v>
      </c>
      <c r="GG95" s="182">
        <v>41.753</v>
      </c>
      <c r="GH95" s="182">
        <v>41.698</v>
      </c>
      <c r="GI95" s="182">
        <v>43.984000000000002</v>
      </c>
      <c r="GJ95" s="182">
        <v>51.052</v>
      </c>
      <c r="GK95" s="182"/>
      <c r="GL95" s="212"/>
      <c r="GM95" s="212"/>
      <c r="GN95" s="212"/>
      <c r="GP95" s="212"/>
      <c r="GQ95" s="212"/>
      <c r="GR95" s="212"/>
      <c r="GS95" s="212"/>
      <c r="GU95" s="212"/>
      <c r="GV95" s="212"/>
      <c r="GW95" s="212"/>
      <c r="GX95" s="212"/>
      <c r="HE95" s="150"/>
      <c r="HF95" s="150"/>
      <c r="HG95" s="150"/>
      <c r="HH95" s="150"/>
      <c r="HI95" s="150"/>
      <c r="HJ95" s="212"/>
      <c r="HK95" s="212"/>
      <c r="HL95" s="227"/>
      <c r="HV95" s="228"/>
    </row>
    <row r="96" spans="1:230" s="128" customFormat="1" ht="36" x14ac:dyDescent="0.2">
      <c r="A96" s="132" t="s">
        <v>431</v>
      </c>
      <c r="B96" s="133" t="s">
        <v>462</v>
      </c>
      <c r="C96" s="48">
        <v>21876</v>
      </c>
      <c r="D96" s="48">
        <v>21902</v>
      </c>
      <c r="E96" s="48">
        <v>21628</v>
      </c>
      <c r="F96" s="154">
        <v>21414</v>
      </c>
      <c r="G96" s="154">
        <f>G20+G35</f>
        <v>21241</v>
      </c>
      <c r="H96" s="154">
        <f t="shared" ref="H96:L96" si="90">H20+H35</f>
        <v>19106</v>
      </c>
      <c r="I96" s="154">
        <f t="shared" si="90"/>
        <v>244</v>
      </c>
      <c r="J96" s="154">
        <f t="shared" si="90"/>
        <v>73</v>
      </c>
      <c r="K96" s="154">
        <f t="shared" si="90"/>
        <v>584</v>
      </c>
      <c r="L96" s="154">
        <f t="shared" si="90"/>
        <v>1234</v>
      </c>
      <c r="M96" s="48">
        <f>M20+M35</f>
        <v>9315</v>
      </c>
      <c r="N96" s="48">
        <f>N20+N35</f>
        <v>9324</v>
      </c>
      <c r="O96" s="48">
        <f t="shared" ref="O96:P96" si="91">O20+O35</f>
        <v>9276</v>
      </c>
      <c r="P96" s="48">
        <f t="shared" si="91"/>
        <v>9229</v>
      </c>
      <c r="Q96" s="48">
        <f t="shared" ref="Q96" si="92">Q20+Q35</f>
        <v>9201</v>
      </c>
      <c r="R96" s="51">
        <v>35.5</v>
      </c>
      <c r="S96" s="51">
        <v>35.700000000000003</v>
      </c>
      <c r="T96" s="51">
        <v>36.607073151690216</v>
      </c>
      <c r="U96" s="51">
        <v>37.319816252178043</v>
      </c>
      <c r="V96" s="51">
        <v>37.868207721325945</v>
      </c>
      <c r="W96" s="38">
        <v>31.8</v>
      </c>
      <c r="X96" s="38">
        <v>32.200000000000003</v>
      </c>
      <c r="Y96" s="38">
        <v>32.242954172847213</v>
      </c>
      <c r="Z96" s="38">
        <v>32.282591477902741</v>
      </c>
      <c r="AA96" s="38">
        <v>32.618990288145113</v>
      </c>
      <c r="AB96" s="51">
        <v>67.3</v>
      </c>
      <c r="AC96" s="51">
        <v>67.900000000000006</v>
      </c>
      <c r="AD96" s="51">
        <v>68.850027324537436</v>
      </c>
      <c r="AE96" s="51">
        <v>69.602407730080785</v>
      </c>
      <c r="AF96" s="51">
        <v>70.487198009471058</v>
      </c>
      <c r="AG96" s="39">
        <v>4.2597365406643757</v>
      </c>
      <c r="AH96" s="39">
        <v>4.5725312526218644</v>
      </c>
      <c r="AI96" s="39">
        <v>4.3812326303743667</v>
      </c>
      <c r="AJ96" s="39">
        <v>5.8387874612469854</v>
      </c>
      <c r="AK96" s="39">
        <v>4.8995198292726307</v>
      </c>
      <c r="AL96" s="48">
        <f>AL20+AL35</f>
        <v>847.08333333333337</v>
      </c>
      <c r="AM96" s="48">
        <f t="shared" ref="AM96:AO96" si="93">AM20+AM35</f>
        <v>802.33333333333326</v>
      </c>
      <c r="AN96" s="48">
        <f t="shared" si="93"/>
        <v>772</v>
      </c>
      <c r="AO96" s="48">
        <f t="shared" si="93"/>
        <v>775.83333333333326</v>
      </c>
      <c r="AP96" s="48">
        <f t="shared" ref="AP96" si="94">AP20+AP35</f>
        <v>752.08333333333337</v>
      </c>
      <c r="AQ96" s="191">
        <v>51553.929502125917</v>
      </c>
      <c r="AR96" s="191">
        <v>48158.220346757174</v>
      </c>
      <c r="AS96" s="191">
        <v>50166.318324995365</v>
      </c>
      <c r="AT96" s="191">
        <v>47683.988045204074</v>
      </c>
      <c r="AU96" s="191">
        <v>47079.548985452668</v>
      </c>
      <c r="AV96" s="163" t="s">
        <v>144</v>
      </c>
      <c r="AW96" s="163" t="s">
        <v>144</v>
      </c>
      <c r="AX96" s="163" t="s">
        <v>144</v>
      </c>
      <c r="AY96" s="163" t="s">
        <v>144</v>
      </c>
      <c r="AZ96" s="197" t="s">
        <v>144</v>
      </c>
      <c r="BA96" s="42">
        <v>12.210761081683858</v>
      </c>
      <c r="BB96" s="42">
        <v>11.433739969386334</v>
      </c>
      <c r="BC96" s="42">
        <v>11.61217587373168</v>
      </c>
      <c r="BD96" s="42">
        <v>10.292332119174372</v>
      </c>
      <c r="BE96" s="42">
        <v>9.8630008003389662</v>
      </c>
      <c r="BF96" s="42">
        <v>16.700445885691124</v>
      </c>
      <c r="BG96" s="42">
        <v>17.126850740296117</v>
      </c>
      <c r="BH96" s="42">
        <v>16.389114541023559</v>
      </c>
      <c r="BI96" s="42">
        <v>14.039358896327855</v>
      </c>
      <c r="BJ96" s="42">
        <v>13.839559093692591</v>
      </c>
      <c r="BK96" s="157">
        <f t="shared" ref="BK96:BL96" si="95">BK20+BK35</f>
        <v>3847</v>
      </c>
      <c r="BL96" s="157">
        <f t="shared" si="95"/>
        <v>3816</v>
      </c>
      <c r="BM96" s="159">
        <f t="shared" ref="BM96:BN96" si="96">BM20+BM35</f>
        <v>3714</v>
      </c>
      <c r="BN96" s="159">
        <f t="shared" si="96"/>
        <v>3242</v>
      </c>
      <c r="BO96" s="39">
        <v>43.566415388614502</v>
      </c>
      <c r="BP96" s="39">
        <v>44.208595387840674</v>
      </c>
      <c r="BQ96" s="39">
        <v>44.049542272482498</v>
      </c>
      <c r="BR96" s="39">
        <v>44.879703886489821</v>
      </c>
      <c r="BS96" s="51">
        <v>6.6025474395632964</v>
      </c>
      <c r="BT96" s="51">
        <v>6.0796645702306078</v>
      </c>
      <c r="BU96" s="51">
        <v>5.7350565428109856</v>
      </c>
      <c r="BV96" s="51">
        <v>6.0148056755089447</v>
      </c>
      <c r="BW96" s="39">
        <v>17.312191317910059</v>
      </c>
      <c r="BX96" s="39">
        <v>17.662473794549268</v>
      </c>
      <c r="BY96" s="39">
        <v>15.67043618739903</v>
      </c>
      <c r="BZ96" s="39">
        <v>19.555829734731649</v>
      </c>
      <c r="CA96" s="40">
        <v>94.076655052264812</v>
      </c>
      <c r="CB96" s="40">
        <v>91.796875</v>
      </c>
      <c r="CC96" s="40">
        <v>93.309859154929569</v>
      </c>
      <c r="CD96" s="40">
        <v>93.548387096774192</v>
      </c>
      <c r="CE96" s="40">
        <v>1.3937282229965158</v>
      </c>
      <c r="CF96" s="40">
        <v>2.734375</v>
      </c>
      <c r="CG96" s="40">
        <v>1.7605633802816902</v>
      </c>
      <c r="CH96" s="40">
        <v>3.5842293906810032</v>
      </c>
      <c r="CI96" s="48">
        <v>1246</v>
      </c>
      <c r="CJ96" s="48">
        <v>1274</v>
      </c>
      <c r="CK96" s="48">
        <v>1247</v>
      </c>
      <c r="CL96" s="48">
        <v>1313</v>
      </c>
      <c r="CM96" s="39">
        <v>10.662422235343447</v>
      </c>
      <c r="CN96" s="39">
        <v>11.132373886981064</v>
      </c>
      <c r="CO96" s="39">
        <v>11.373793757638774</v>
      </c>
      <c r="CP96" s="39">
        <v>12.150544599809367</v>
      </c>
      <c r="CQ96" s="127">
        <f t="shared" ref="CQ96:CT96" si="97">CQ20+CQ35</f>
        <v>50</v>
      </c>
      <c r="CR96" s="127">
        <f t="shared" si="97"/>
        <v>74</v>
      </c>
      <c r="CS96" s="127">
        <f t="shared" si="97"/>
        <v>57</v>
      </c>
      <c r="CT96" s="127">
        <f t="shared" si="97"/>
        <v>64</v>
      </c>
      <c r="CU96" s="39">
        <v>4.0999999999999996</v>
      </c>
      <c r="CV96" s="39">
        <v>6</v>
      </c>
      <c r="CW96" s="39">
        <v>4.8</v>
      </c>
      <c r="CX96" s="39">
        <v>5.0999999999999996</v>
      </c>
      <c r="CY96" s="48">
        <f t="shared" ref="CY96:DB96" si="98">CY20+CY35</f>
        <v>90</v>
      </c>
      <c r="CZ96" s="48">
        <f t="shared" si="98"/>
        <v>134</v>
      </c>
      <c r="DA96" s="48">
        <f t="shared" si="98"/>
        <v>102</v>
      </c>
      <c r="DB96" s="48">
        <f t="shared" si="98"/>
        <v>97</v>
      </c>
      <c r="DC96" s="39">
        <v>7.6</v>
      </c>
      <c r="DD96" s="39">
        <v>11.4</v>
      </c>
      <c r="DE96" s="39">
        <v>9</v>
      </c>
      <c r="DF96" s="39">
        <v>7.7</v>
      </c>
      <c r="DG96" s="39">
        <v>87.1</v>
      </c>
      <c r="DH96" s="39">
        <v>88.6</v>
      </c>
      <c r="DI96" s="39">
        <v>85.9</v>
      </c>
      <c r="DJ96" s="39">
        <v>87.6</v>
      </c>
      <c r="DK96" s="39">
        <v>11.6</v>
      </c>
      <c r="DL96" s="39">
        <v>13</v>
      </c>
      <c r="DM96" s="39">
        <v>15.8</v>
      </c>
      <c r="DN96" s="39">
        <v>12.7</v>
      </c>
      <c r="DO96" s="39">
        <v>23.8</v>
      </c>
      <c r="DP96" s="39">
        <v>26.8</v>
      </c>
      <c r="DQ96" s="39">
        <v>38.6</v>
      </c>
      <c r="DR96" s="39">
        <v>35.1</v>
      </c>
      <c r="DS96" s="39">
        <v>24.4</v>
      </c>
      <c r="DT96" s="39">
        <v>21.7</v>
      </c>
      <c r="DU96" s="39">
        <v>31.3</v>
      </c>
      <c r="DV96" s="39">
        <v>19.399999999999999</v>
      </c>
      <c r="DW96" s="48">
        <f t="shared" ref="DW96" si="99">DW20+DW35</f>
        <v>205</v>
      </c>
      <c r="DX96" s="48">
        <f t="shared" ref="DX96:EA96" si="100">DX20+DX35</f>
        <v>9</v>
      </c>
      <c r="DY96" s="48">
        <f t="shared" si="100"/>
        <v>3</v>
      </c>
      <c r="DZ96" s="48">
        <f t="shared" si="100"/>
        <v>10</v>
      </c>
      <c r="EA96" s="48">
        <f t="shared" si="100"/>
        <v>23</v>
      </c>
      <c r="EB96" s="48">
        <f t="shared" ref="EB96:EE96" si="101">EB20+EB35</f>
        <v>6</v>
      </c>
      <c r="EC96" s="48">
        <f t="shared" si="101"/>
        <v>6</v>
      </c>
      <c r="ED96" s="48">
        <f t="shared" si="101"/>
        <v>5</v>
      </c>
      <c r="EE96" s="48">
        <f t="shared" si="101"/>
        <v>10</v>
      </c>
      <c r="EF96" s="48">
        <f t="shared" ref="EF96" si="102">EF20+EF35</f>
        <v>1420</v>
      </c>
      <c r="EG96" s="48">
        <f t="shared" ref="EG96:EI96" si="103">EG20+EG35</f>
        <v>1319</v>
      </c>
      <c r="EH96" s="48">
        <f t="shared" si="103"/>
        <v>1308</v>
      </c>
      <c r="EI96" s="48">
        <f t="shared" si="103"/>
        <v>1208</v>
      </c>
      <c r="EJ96" s="48">
        <f t="shared" ref="EJ96:EN96" si="104">EJ20+EJ35</f>
        <v>237</v>
      </c>
      <c r="EK96" s="48">
        <f t="shared" si="104"/>
        <v>0</v>
      </c>
      <c r="EL96" s="48">
        <f t="shared" si="104"/>
        <v>0</v>
      </c>
      <c r="EM96" s="48">
        <f t="shared" si="104"/>
        <v>1</v>
      </c>
      <c r="EN96" s="48">
        <f t="shared" si="104"/>
        <v>2</v>
      </c>
      <c r="EO96" s="39">
        <v>1211.8625986771922</v>
      </c>
      <c r="EP96" s="39">
        <v>1146.159193604449</v>
      </c>
      <c r="EQ96" s="39">
        <v>1191.636678358311</v>
      </c>
      <c r="ER96" s="39">
        <v>1117.070464213057</v>
      </c>
      <c r="ES96" s="39">
        <v>684.82500000000005</v>
      </c>
      <c r="ET96" s="39">
        <v>618.14</v>
      </c>
      <c r="EU96" s="39">
        <v>648.30899999999997</v>
      </c>
      <c r="EV96" s="39">
        <v>615.58299999999997</v>
      </c>
      <c r="EW96" s="39">
        <v>833.077</v>
      </c>
      <c r="EX96" s="39">
        <v>732.577</v>
      </c>
      <c r="EY96" s="39">
        <v>789.75900000000001</v>
      </c>
      <c r="EZ96" s="39">
        <v>706.17899999999997</v>
      </c>
      <c r="FA96" s="39">
        <v>573.92200000000003</v>
      </c>
      <c r="FB96" s="39">
        <v>520.17100000000005</v>
      </c>
      <c r="FC96" s="39">
        <v>530.33900000000006</v>
      </c>
      <c r="FD96" s="39">
        <v>533.01</v>
      </c>
      <c r="FE96" s="48">
        <f t="shared" ref="FE96:FH96" si="105">FE20+FE35</f>
        <v>300</v>
      </c>
      <c r="FF96" s="48">
        <f t="shared" si="105"/>
        <v>279</v>
      </c>
      <c r="FG96" s="48">
        <f t="shared" si="105"/>
        <v>281</v>
      </c>
      <c r="FH96" s="48">
        <f t="shared" si="105"/>
        <v>279</v>
      </c>
      <c r="FI96" s="39">
        <v>161.529</v>
      </c>
      <c r="FJ96" s="39">
        <v>154.93199999999999</v>
      </c>
      <c r="FK96" s="39">
        <v>154.41</v>
      </c>
      <c r="FL96" s="39">
        <v>151.57300000000001</v>
      </c>
      <c r="FM96" s="48">
        <f t="shared" ref="FM96:FP96" si="106">FM20+FM35</f>
        <v>430</v>
      </c>
      <c r="FN96" s="48">
        <f t="shared" si="106"/>
        <v>372</v>
      </c>
      <c r="FO96" s="48">
        <f t="shared" si="106"/>
        <v>362</v>
      </c>
      <c r="FP96" s="48">
        <f t="shared" si="106"/>
        <v>314</v>
      </c>
      <c r="FQ96" s="39">
        <v>193.203</v>
      </c>
      <c r="FR96" s="39">
        <v>155.81200000000001</v>
      </c>
      <c r="FS96" s="39">
        <v>162.82499999999999</v>
      </c>
      <c r="FT96" s="39">
        <v>148.399</v>
      </c>
      <c r="FU96" s="48">
        <f t="shared" ref="FU96:FX96" si="107">FU20+FU35</f>
        <v>107</v>
      </c>
      <c r="FV96" s="48">
        <f t="shared" si="107"/>
        <v>93</v>
      </c>
      <c r="FW96" s="48">
        <f t="shared" si="107"/>
        <v>65</v>
      </c>
      <c r="FX96" s="48">
        <f t="shared" si="107"/>
        <v>63</v>
      </c>
      <c r="FY96" s="39">
        <v>45.704999999999998</v>
      </c>
      <c r="FZ96" s="39">
        <v>40.447000000000003</v>
      </c>
      <c r="GA96" s="39">
        <v>27.353000000000002</v>
      </c>
      <c r="GB96" s="39">
        <v>27.253</v>
      </c>
      <c r="GC96" s="48">
        <f t="shared" ref="GC96:GF96" si="108">GC20+GC35</f>
        <v>61</v>
      </c>
      <c r="GD96" s="48">
        <f t="shared" si="108"/>
        <v>66</v>
      </c>
      <c r="GE96" s="48">
        <f t="shared" si="108"/>
        <v>43</v>
      </c>
      <c r="GF96" s="48">
        <f t="shared" si="108"/>
        <v>57</v>
      </c>
      <c r="GG96" s="182">
        <v>42.061</v>
      </c>
      <c r="GH96" s="182">
        <v>40.630000000000003</v>
      </c>
      <c r="GI96" s="182">
        <v>31.221</v>
      </c>
      <c r="GJ96" s="182">
        <v>40.146000000000001</v>
      </c>
      <c r="GK96" s="182"/>
      <c r="GL96" s="212"/>
      <c r="GM96" s="212"/>
      <c r="GN96" s="212"/>
      <c r="GP96" s="212"/>
      <c r="GQ96" s="212"/>
      <c r="GR96" s="212"/>
      <c r="GS96" s="212"/>
      <c r="GU96" s="212"/>
      <c r="GV96" s="212"/>
      <c r="GW96" s="212"/>
      <c r="GX96" s="212"/>
      <c r="HE96" s="150"/>
      <c r="HF96" s="150"/>
      <c r="HG96" s="150"/>
      <c r="HH96" s="150"/>
      <c r="HI96" s="150"/>
      <c r="HJ96" s="212"/>
      <c r="HK96" s="212"/>
      <c r="HL96" s="227"/>
      <c r="HV96" s="228"/>
    </row>
    <row r="97" spans="1:230" s="128" customFormat="1" ht="48" x14ac:dyDescent="0.2">
      <c r="A97" s="134" t="s">
        <v>479</v>
      </c>
      <c r="B97" s="134" t="s">
        <v>479</v>
      </c>
      <c r="C97" s="48">
        <v>158030</v>
      </c>
      <c r="D97" s="48">
        <v>158675</v>
      </c>
      <c r="E97" s="48">
        <v>159822</v>
      </c>
      <c r="F97" s="154">
        <v>161052</v>
      </c>
      <c r="G97" s="154">
        <f t="shared" ref="G97:L97" si="109">G17+G87+G6+G59</f>
        <v>162336</v>
      </c>
      <c r="H97" s="154">
        <f t="shared" si="109"/>
        <v>146615</v>
      </c>
      <c r="I97" s="154">
        <f t="shared" si="109"/>
        <v>3851</v>
      </c>
      <c r="J97" s="154">
        <f t="shared" si="109"/>
        <v>4414</v>
      </c>
      <c r="K97" s="154">
        <f t="shared" si="109"/>
        <v>1670</v>
      </c>
      <c r="L97" s="154">
        <f t="shared" si="109"/>
        <v>5786</v>
      </c>
      <c r="M97" s="48">
        <f t="shared" ref="M97:P97" si="110">M17+M87+M6+M59</f>
        <v>63415</v>
      </c>
      <c r="N97" s="48">
        <f t="shared" si="110"/>
        <v>63972</v>
      </c>
      <c r="O97" s="48">
        <f t="shared" si="110"/>
        <v>64655</v>
      </c>
      <c r="P97" s="48">
        <f t="shared" si="110"/>
        <v>65399</v>
      </c>
      <c r="Q97" s="48">
        <f t="shared" ref="Q97" si="111">Q17+Q87+Q6+Q59</f>
        <v>66241</v>
      </c>
      <c r="R97" s="51">
        <v>19.2</v>
      </c>
      <c r="S97" s="51">
        <v>28.2</v>
      </c>
      <c r="T97" s="51">
        <v>28.81755982910239</v>
      </c>
      <c r="U97" s="51">
        <v>29.407076824992028</v>
      </c>
      <c r="V97" s="51">
        <v>29.741237800571046</v>
      </c>
      <c r="W97" s="38">
        <v>28.8</v>
      </c>
      <c r="X97" s="38">
        <v>30</v>
      </c>
      <c r="Y97" s="38">
        <v>30.350260429634201</v>
      </c>
      <c r="Z97" s="38">
        <v>31.028849218999042</v>
      </c>
      <c r="AA97" s="38">
        <v>31.759801824566992</v>
      </c>
      <c r="AB97" s="51">
        <v>48.1</v>
      </c>
      <c r="AC97" s="51">
        <v>58.2</v>
      </c>
      <c r="AD97" s="51">
        <v>59.16782025873659</v>
      </c>
      <c r="AE97" s="51">
        <v>60.435926043991074</v>
      </c>
      <c r="AF97" s="51">
        <v>61.501039625138034</v>
      </c>
      <c r="AG97" s="39">
        <v>3.7372711409745554</v>
      </c>
      <c r="AH97" s="39">
        <v>3.9876117438852838</v>
      </c>
      <c r="AI97" s="39">
        <v>3.7583456557781068</v>
      </c>
      <c r="AJ97" s="39">
        <v>4.0310200027091705</v>
      </c>
      <c r="AK97" s="39">
        <v>3.811456672279403</v>
      </c>
      <c r="AL97" s="48">
        <f t="shared" ref="AL97:AO97" si="112">AL17+AL87+AL6+AL59</f>
        <v>7584.5</v>
      </c>
      <c r="AM97" s="48">
        <f t="shared" si="112"/>
        <v>6601.0833333333339</v>
      </c>
      <c r="AN97" s="48">
        <f t="shared" si="112"/>
        <v>6157.3333333333339</v>
      </c>
      <c r="AO97" s="48">
        <f t="shared" si="112"/>
        <v>6166.916666666667</v>
      </c>
      <c r="AP97" s="48">
        <f t="shared" ref="AP97" si="113">AP17+AP87+AP6+AP59</f>
        <v>6147.7499999999991</v>
      </c>
      <c r="AQ97" s="191">
        <v>42639.998670919726</v>
      </c>
      <c r="AR97" s="191">
        <v>43031.889851602129</v>
      </c>
      <c r="AS97" s="191">
        <v>43917.263669136795</v>
      </c>
      <c r="AT97" s="191">
        <v>44256.07213819139</v>
      </c>
      <c r="AU97" s="191">
        <v>45134.133525527301</v>
      </c>
      <c r="AV97" s="163" t="s">
        <v>144</v>
      </c>
      <c r="AW97" s="163" t="s">
        <v>144</v>
      </c>
      <c r="AX97" s="163" t="s">
        <v>144</v>
      </c>
      <c r="AY97" s="163" t="s">
        <v>144</v>
      </c>
      <c r="AZ97" s="197" t="s">
        <v>144</v>
      </c>
      <c r="BA97" s="42">
        <v>12.296535562733549</v>
      </c>
      <c r="BB97" s="42">
        <v>12.723407862391841</v>
      </c>
      <c r="BC97" s="42">
        <v>10.98578241990073</v>
      </c>
      <c r="BD97" s="42">
        <v>11.111939001067977</v>
      </c>
      <c r="BE97" s="42">
        <v>10.868199290360733</v>
      </c>
      <c r="BF97" s="42">
        <v>13.351248607196696</v>
      </c>
      <c r="BG97" s="42">
        <v>16.082051857672017</v>
      </c>
      <c r="BH97" s="42">
        <v>13.939763375910891</v>
      </c>
      <c r="BI97" s="42">
        <v>14.378471197445736</v>
      </c>
      <c r="BJ97" s="42">
        <v>13.957522868257808</v>
      </c>
      <c r="BK97" s="157">
        <f t="shared" ref="BK97:BL97" si="114">BK17+BK87+BK6+BK59</f>
        <v>23265</v>
      </c>
      <c r="BL97" s="157">
        <f t="shared" si="114"/>
        <v>23883</v>
      </c>
      <c r="BM97" s="159">
        <f t="shared" ref="BM97:BN97" si="115">BM17+BM87+BM6+BM59</f>
        <v>23740</v>
      </c>
      <c r="BN97" s="159">
        <f t="shared" si="115"/>
        <v>24880</v>
      </c>
      <c r="BO97" s="39">
        <v>37.382333978078655</v>
      </c>
      <c r="BP97" s="39">
        <v>37.57903110999456</v>
      </c>
      <c r="BQ97" s="39">
        <v>36.566975568660489</v>
      </c>
      <c r="BR97" s="39">
        <v>36.627813504823152</v>
      </c>
      <c r="BS97" s="51">
        <v>3.0002149151085322</v>
      </c>
      <c r="BT97" s="51">
        <v>3.1528702424318551</v>
      </c>
      <c r="BU97" s="51">
        <v>3.3951137320977254</v>
      </c>
      <c r="BV97" s="51">
        <v>3.6615755627009645</v>
      </c>
      <c r="BW97" s="39">
        <v>16.574253169997849</v>
      </c>
      <c r="BX97" s="39">
        <v>16.731566386132396</v>
      </c>
      <c r="BY97" s="39">
        <v>14.991575400168491</v>
      </c>
      <c r="BZ97" s="39">
        <v>17.319131832797428</v>
      </c>
      <c r="CA97" s="40">
        <v>81.641468682505405</v>
      </c>
      <c r="CB97" s="40">
        <v>80.171489817792065</v>
      </c>
      <c r="CC97" s="40">
        <v>82.277807344332089</v>
      </c>
      <c r="CD97" s="40">
        <v>81.747356705620476</v>
      </c>
      <c r="CE97" s="40">
        <v>4.8596112311015123</v>
      </c>
      <c r="CF97" s="40">
        <v>7.1122994652406417</v>
      </c>
      <c r="CG97" s="40">
        <v>6.4928153273017566</v>
      </c>
      <c r="CH97" s="40">
        <v>6.7334446299387869</v>
      </c>
      <c r="CI97" s="48">
        <v>7953</v>
      </c>
      <c r="CJ97" s="48">
        <v>9208</v>
      </c>
      <c r="CK97" s="48">
        <v>9529</v>
      </c>
      <c r="CL97" s="48">
        <v>10176</v>
      </c>
      <c r="CM97" s="39">
        <v>10.933611955072244</v>
      </c>
      <c r="CN97" s="39">
        <v>12.27803727413705</v>
      </c>
      <c r="CO97" s="39">
        <v>12.353425421168968</v>
      </c>
      <c r="CP97" s="39">
        <v>12.721351643612135</v>
      </c>
      <c r="CQ97" s="127">
        <f t="shared" ref="CQ97:CT97" si="116">CQ17+CQ87+CQ6+CQ59</f>
        <v>322</v>
      </c>
      <c r="CR97" s="127">
        <f t="shared" si="116"/>
        <v>418</v>
      </c>
      <c r="CS97" s="127">
        <f t="shared" si="116"/>
        <v>406</v>
      </c>
      <c r="CT97" s="127">
        <f t="shared" si="116"/>
        <v>459</v>
      </c>
      <c r="CU97" s="39">
        <v>4.2</v>
      </c>
      <c r="CV97" s="39">
        <v>4.7</v>
      </c>
      <c r="CW97" s="39">
        <v>4.4000000000000004</v>
      </c>
      <c r="CX97" s="39">
        <v>4.7</v>
      </c>
      <c r="CY97" s="48">
        <f t="shared" ref="CY97:DB97" si="117">CY17+CY87+CY6+CY59</f>
        <v>576</v>
      </c>
      <c r="CZ97" s="48">
        <f t="shared" si="117"/>
        <v>627</v>
      </c>
      <c r="DA97" s="48">
        <f t="shared" si="117"/>
        <v>579</v>
      </c>
      <c r="DB97" s="48">
        <f t="shared" si="117"/>
        <v>621</v>
      </c>
      <c r="DC97" s="39">
        <v>8</v>
      </c>
      <c r="DD97" s="39">
        <v>7.6</v>
      </c>
      <c r="DE97" s="39">
        <v>6.7</v>
      </c>
      <c r="DF97" s="39">
        <v>6.3</v>
      </c>
      <c r="DG97" s="39">
        <v>83.7</v>
      </c>
      <c r="DH97" s="39">
        <v>85</v>
      </c>
      <c r="DI97" s="39">
        <v>86.8</v>
      </c>
      <c r="DJ97" s="39">
        <v>80</v>
      </c>
      <c r="DK97" s="39">
        <v>18.8</v>
      </c>
      <c r="DL97" s="39">
        <v>14.6</v>
      </c>
      <c r="DM97" s="39">
        <v>14.2</v>
      </c>
      <c r="DN97" s="39">
        <v>13</v>
      </c>
      <c r="DO97" s="39">
        <v>28.3</v>
      </c>
      <c r="DP97" s="39">
        <v>29.8</v>
      </c>
      <c r="DQ97" s="39">
        <v>31.6</v>
      </c>
      <c r="DR97" s="39">
        <v>31.8</v>
      </c>
      <c r="DS97" s="39">
        <v>23.7</v>
      </c>
      <c r="DT97" s="39">
        <v>21.3</v>
      </c>
      <c r="DU97" s="39">
        <v>19.7</v>
      </c>
      <c r="DV97" s="39">
        <v>14</v>
      </c>
      <c r="DW97" s="48">
        <f t="shared" ref="DW97" si="118">DW17+DW87+DW6+DW59</f>
        <v>1741</v>
      </c>
      <c r="DX97" s="48">
        <f t="shared" ref="DX97:EA97" si="119">DX17+DX87+DX6+DX59</f>
        <v>116</v>
      </c>
      <c r="DY97" s="48">
        <f t="shared" si="119"/>
        <v>86</v>
      </c>
      <c r="DZ97" s="48">
        <f t="shared" si="119"/>
        <v>21</v>
      </c>
      <c r="EA97" s="48">
        <f t="shared" si="119"/>
        <v>43</v>
      </c>
      <c r="EB97" s="48">
        <f t="shared" ref="EB97:EE97" si="120">EB17+EB87+EB6+EB59</f>
        <v>63</v>
      </c>
      <c r="EC97" s="48">
        <f t="shared" si="120"/>
        <v>47</v>
      </c>
      <c r="ED97" s="48">
        <f t="shared" si="120"/>
        <v>47</v>
      </c>
      <c r="EE97" s="48">
        <f t="shared" si="120"/>
        <v>53</v>
      </c>
      <c r="EF97" s="48">
        <f t="shared" ref="EF97" si="121">EF17+EF87+EF6+EF59</f>
        <v>7212</v>
      </c>
      <c r="EG97" s="48">
        <f t="shared" ref="EG97:EI97" si="122">EG17+EG87+EG6+EG59</f>
        <v>6959</v>
      </c>
      <c r="EH97" s="48">
        <f t="shared" si="122"/>
        <v>7506</v>
      </c>
      <c r="EI97" s="48">
        <f t="shared" si="122"/>
        <v>7847</v>
      </c>
      <c r="EJ97" s="48">
        <f t="shared" ref="EJ97:EN97" si="123">EJ17+EJ87+EJ6+EJ59</f>
        <v>1560</v>
      </c>
      <c r="EK97" s="48">
        <f t="shared" si="123"/>
        <v>6</v>
      </c>
      <c r="EL97" s="48">
        <f t="shared" si="123"/>
        <v>37</v>
      </c>
      <c r="EM97" s="48">
        <f t="shared" si="123"/>
        <v>8</v>
      </c>
      <c r="EN97" s="48">
        <f t="shared" si="123"/>
        <v>8</v>
      </c>
      <c r="EO97" s="39">
        <v>991.16309113148168</v>
      </c>
      <c r="EP97" s="39">
        <v>926.84096266798065</v>
      </c>
      <c r="EQ97" s="39">
        <v>966.13507356064417</v>
      </c>
      <c r="ER97" s="39">
        <v>981.9674387756379</v>
      </c>
      <c r="ES97" s="39">
        <v>769.23699999999997</v>
      </c>
      <c r="ET97" s="39">
        <v>689.31899999999996</v>
      </c>
      <c r="EU97" s="39">
        <v>701.98099999999999</v>
      </c>
      <c r="EV97" s="39">
        <v>694.17700000000002</v>
      </c>
      <c r="EW97" s="39">
        <v>964.24699999999996</v>
      </c>
      <c r="EX97" s="39">
        <v>835.76499999999999</v>
      </c>
      <c r="EY97" s="39">
        <v>824.84900000000005</v>
      </c>
      <c r="EZ97" s="39">
        <v>804.55899999999997</v>
      </c>
      <c r="FA97" s="39">
        <v>618.779</v>
      </c>
      <c r="FB97" s="39">
        <v>569.09799999999996</v>
      </c>
      <c r="FC97" s="39">
        <v>603.553</v>
      </c>
      <c r="FD97" s="39">
        <v>596.37900000000002</v>
      </c>
      <c r="FE97" s="48">
        <f t="shared" ref="FE97:FH97" si="124">FE17+FE87+FE6+FE59</f>
        <v>1697</v>
      </c>
      <c r="FF97" s="48">
        <f t="shared" si="124"/>
        <v>1525</v>
      </c>
      <c r="FG97" s="48">
        <f t="shared" si="124"/>
        <v>1679</v>
      </c>
      <c r="FH97" s="48">
        <f t="shared" si="124"/>
        <v>1710</v>
      </c>
      <c r="FI97" s="39">
        <v>189.33699999999999</v>
      </c>
      <c r="FJ97" s="39">
        <v>161.13900000000001</v>
      </c>
      <c r="FK97" s="39">
        <v>162.85599999999999</v>
      </c>
      <c r="FL97" s="39">
        <v>153.89400000000001</v>
      </c>
      <c r="FM97" s="48">
        <f t="shared" ref="FM97:FP97" si="125">FM17+FM87+FM6+FM59</f>
        <v>1921</v>
      </c>
      <c r="FN97" s="48">
        <f t="shared" si="125"/>
        <v>1732</v>
      </c>
      <c r="FO97" s="48">
        <f t="shared" si="125"/>
        <v>1642</v>
      </c>
      <c r="FP97" s="48">
        <f t="shared" si="125"/>
        <v>1603</v>
      </c>
      <c r="FQ97" s="39">
        <v>199.04599999999999</v>
      </c>
      <c r="FR97" s="39">
        <v>164.827</v>
      </c>
      <c r="FS97" s="39">
        <v>149.27000000000001</v>
      </c>
      <c r="FT97" s="39">
        <v>136.77799999999999</v>
      </c>
      <c r="FU97" s="48">
        <f t="shared" ref="FU97:FX97" si="126">FU17+FU87+FU6+FU59</f>
        <v>569</v>
      </c>
      <c r="FV97" s="48">
        <f t="shared" si="126"/>
        <v>468</v>
      </c>
      <c r="FW97" s="48">
        <f t="shared" si="126"/>
        <v>469</v>
      </c>
      <c r="FX97" s="48">
        <f t="shared" si="126"/>
        <v>410</v>
      </c>
      <c r="FY97" s="39">
        <v>56.529000000000003</v>
      </c>
      <c r="FZ97" s="39">
        <v>42.677</v>
      </c>
      <c r="GA97" s="39">
        <v>41.530999999999999</v>
      </c>
      <c r="GB97" s="39">
        <v>34.338000000000001</v>
      </c>
      <c r="GC97" s="48">
        <f t="shared" ref="GC97:GF97" si="127">GC17+GC87+GC6+GC59</f>
        <v>332</v>
      </c>
      <c r="GD97" s="48">
        <f t="shared" si="127"/>
        <v>301</v>
      </c>
      <c r="GE97" s="48">
        <f t="shared" si="127"/>
        <v>347</v>
      </c>
      <c r="GF97" s="48">
        <f t="shared" si="127"/>
        <v>397</v>
      </c>
      <c r="GG97" s="182">
        <v>41.405000000000001</v>
      </c>
      <c r="GH97" s="182">
        <v>35.643000000000001</v>
      </c>
      <c r="GI97" s="182">
        <v>39.411999999999999</v>
      </c>
      <c r="GJ97" s="182">
        <v>42.152000000000001</v>
      </c>
      <c r="GK97" s="182"/>
      <c r="GL97" s="212"/>
      <c r="GM97" s="212"/>
      <c r="GN97" s="212"/>
      <c r="GP97" s="212"/>
      <c r="GQ97" s="212"/>
      <c r="GR97" s="212"/>
      <c r="GS97" s="212"/>
      <c r="GU97" s="212"/>
      <c r="GV97" s="212"/>
      <c r="GW97" s="212"/>
      <c r="GX97" s="212"/>
      <c r="HE97" s="150"/>
      <c r="HF97" s="150"/>
      <c r="HG97" s="150"/>
      <c r="HH97" s="150"/>
      <c r="HI97" s="150"/>
      <c r="HJ97" s="212"/>
      <c r="HK97" s="212"/>
      <c r="HL97" s="227"/>
      <c r="HV97" s="228"/>
    </row>
    <row r="98" spans="1:230" s="128" customFormat="1" ht="72" x14ac:dyDescent="0.2">
      <c r="A98" s="132" t="s">
        <v>432</v>
      </c>
      <c r="B98" s="133" t="s">
        <v>464</v>
      </c>
      <c r="C98" s="48">
        <v>66646</v>
      </c>
      <c r="D98" s="48">
        <v>66917</v>
      </c>
      <c r="E98" s="48">
        <v>67216</v>
      </c>
      <c r="F98" s="154">
        <v>67510</v>
      </c>
      <c r="G98" s="154">
        <f>G24+G29+G64+G78+G81</f>
        <v>67439</v>
      </c>
      <c r="H98" s="154">
        <f t="shared" ref="H98:L98" si="128">H24+H29+H64+H78+H81</f>
        <v>64180</v>
      </c>
      <c r="I98" s="154">
        <f t="shared" si="128"/>
        <v>625</v>
      </c>
      <c r="J98" s="154">
        <f t="shared" si="128"/>
        <v>497</v>
      </c>
      <c r="K98" s="154">
        <f t="shared" si="128"/>
        <v>506</v>
      </c>
      <c r="L98" s="154">
        <f t="shared" si="128"/>
        <v>1631</v>
      </c>
      <c r="M98" s="48">
        <f>M24+M29+M64+M78+M81</f>
        <v>28227</v>
      </c>
      <c r="N98" s="48">
        <f>N24+N29+N64+N78+N81</f>
        <v>28360</v>
      </c>
      <c r="O98" s="48">
        <f t="shared" ref="O98:P98" si="129">O24+O29+O64+O78+O81</f>
        <v>28518</v>
      </c>
      <c r="P98" s="48">
        <f t="shared" si="129"/>
        <v>28739</v>
      </c>
      <c r="Q98" s="48">
        <f t="shared" ref="Q98" si="130">Q24+Q29+Q64+Q78+Q81</f>
        <v>28912</v>
      </c>
      <c r="R98" s="51">
        <v>34.4</v>
      </c>
      <c r="S98" s="51">
        <v>35</v>
      </c>
      <c r="T98" s="51">
        <v>36.044711951848669</v>
      </c>
      <c r="U98" s="51">
        <v>36.702560185299262</v>
      </c>
      <c r="V98" s="51">
        <v>36.660496112550902</v>
      </c>
      <c r="W98" s="38">
        <v>28.7</v>
      </c>
      <c r="X98" s="38">
        <v>28.7</v>
      </c>
      <c r="Y98" s="38">
        <v>29.084879007492937</v>
      </c>
      <c r="Z98" s="38">
        <v>29.647882118128283</v>
      </c>
      <c r="AA98" s="38">
        <v>29.79390349253363</v>
      </c>
      <c r="AB98" s="51">
        <v>63.2</v>
      </c>
      <c r="AC98" s="51">
        <v>63.7</v>
      </c>
      <c r="AD98" s="51">
        <v>65.129590959341598</v>
      </c>
      <c r="AE98" s="51">
        <v>66.350442303427542</v>
      </c>
      <c r="AF98" s="51">
        <v>66.454399605084532</v>
      </c>
      <c r="AG98" s="39">
        <v>4.2153846153846155</v>
      </c>
      <c r="AH98" s="39">
        <v>3.7218199207542013</v>
      </c>
      <c r="AI98" s="39">
        <v>3.461813937448603</v>
      </c>
      <c r="AJ98" s="39">
        <v>3.5719099609111735</v>
      </c>
      <c r="AK98" s="39">
        <v>3.3449664429530199</v>
      </c>
      <c r="AL98" s="48">
        <f>AL24+AL29+AL64+AL78+AL81</f>
        <v>2632.1666666666665</v>
      </c>
      <c r="AM98" s="48">
        <f t="shared" ref="AM98:AO98" si="131">AM24+AM29+AM64+AM78+AM81</f>
        <v>2439.9999999999995</v>
      </c>
      <c r="AN98" s="48">
        <f t="shared" si="131"/>
        <v>2281.5</v>
      </c>
      <c r="AO98" s="48">
        <f t="shared" si="131"/>
        <v>2233.9166666666665</v>
      </c>
      <c r="AP98" s="48">
        <f t="shared" ref="AP98" si="132">AP24+AP29+AP64+AP78+AP81</f>
        <v>2177.8333333333335</v>
      </c>
      <c r="AQ98" s="191">
        <v>50109.033865737969</v>
      </c>
      <c r="AR98" s="191">
        <v>48546.572833086801</v>
      </c>
      <c r="AS98" s="191">
        <v>49563.937873214891</v>
      </c>
      <c r="AT98" s="191">
        <v>49715.266775292555</v>
      </c>
      <c r="AU98" s="191">
        <v>50023.705867524732</v>
      </c>
      <c r="AV98" s="163" t="s">
        <v>144</v>
      </c>
      <c r="AW98" s="163" t="s">
        <v>144</v>
      </c>
      <c r="AX98" s="163" t="s">
        <v>144</v>
      </c>
      <c r="AY98" s="163" t="s">
        <v>144</v>
      </c>
      <c r="AZ98" s="197" t="s">
        <v>144</v>
      </c>
      <c r="BA98" s="42">
        <v>11.105280217320841</v>
      </c>
      <c r="BB98" s="42">
        <v>10.563347825419015</v>
      </c>
      <c r="BC98" s="42">
        <v>9.4399926596525567</v>
      </c>
      <c r="BD98" s="42">
        <v>8.6387201896015409</v>
      </c>
      <c r="BE98" s="42">
        <v>8.0324441346995066</v>
      </c>
      <c r="BF98" s="42">
        <v>13.437793342479601</v>
      </c>
      <c r="BG98" s="42">
        <v>13.413758437455121</v>
      </c>
      <c r="BH98" s="42">
        <v>12.125737856482468</v>
      </c>
      <c r="BI98" s="42">
        <v>11.213517665130567</v>
      </c>
      <c r="BJ98" s="42">
        <v>9.8475885587027641</v>
      </c>
      <c r="BK98" s="157">
        <f t="shared" ref="BK98:BL98" si="133">BK24+BK29+BK64+BK78+BK81</f>
        <v>9729</v>
      </c>
      <c r="BL98" s="157">
        <f t="shared" si="133"/>
        <v>9838</v>
      </c>
      <c r="BM98" s="159">
        <f t="shared" ref="BM98:BN98" si="134">BM24+BM29+BM64+BM78+BM81</f>
        <v>9815</v>
      </c>
      <c r="BN98" s="159">
        <f t="shared" si="134"/>
        <v>10194</v>
      </c>
      <c r="BO98" s="39">
        <v>34.05283174015829</v>
      </c>
      <c r="BP98" s="39">
        <v>32.42528969302704</v>
      </c>
      <c r="BQ98" s="39">
        <v>31.431482424859908</v>
      </c>
      <c r="BR98" s="39">
        <v>31.51854031783402</v>
      </c>
      <c r="BS98" s="51">
        <v>0.66810566348031653</v>
      </c>
      <c r="BT98" s="51">
        <v>0.88432608253710099</v>
      </c>
      <c r="BU98" s="51">
        <v>0.81507896077432507</v>
      </c>
      <c r="BV98" s="51">
        <v>1.0202079654698843</v>
      </c>
      <c r="BW98" s="39">
        <v>17.473532737177511</v>
      </c>
      <c r="BX98" s="39">
        <v>17.879650335434032</v>
      </c>
      <c r="BY98" s="39">
        <v>16.423841059602648</v>
      </c>
      <c r="BZ98" s="39">
        <v>18.147930154993134</v>
      </c>
      <c r="CA98" s="40">
        <v>90.895953757225428</v>
      </c>
      <c r="CB98" s="40">
        <v>88.401697312588396</v>
      </c>
      <c r="CC98" s="40">
        <v>88.78378378378379</v>
      </c>
      <c r="CD98" s="40">
        <v>88.611111111111114</v>
      </c>
      <c r="CE98" s="40">
        <v>2.3121387283236992</v>
      </c>
      <c r="CF98" s="40">
        <v>5.825242718446602</v>
      </c>
      <c r="CG98" s="40">
        <v>3.2432432432432434</v>
      </c>
      <c r="CH98" s="40">
        <v>4.8611111111111116</v>
      </c>
      <c r="CI98" s="48">
        <v>3331</v>
      </c>
      <c r="CJ98" s="48">
        <v>3775</v>
      </c>
      <c r="CK98" s="48">
        <v>3732</v>
      </c>
      <c r="CL98" s="48">
        <v>3857</v>
      </c>
      <c r="CM98" s="39">
        <v>10.447016907795902</v>
      </c>
      <c r="CN98" s="39">
        <v>11.432118954604645</v>
      </c>
      <c r="CO98" s="39">
        <v>11.246248237123467</v>
      </c>
      <c r="CP98" s="39">
        <v>11.488466854120002</v>
      </c>
      <c r="CQ98" s="127">
        <f t="shared" ref="CQ98:CT98" si="135">CQ24+CQ29+CQ64+CQ78+CQ81</f>
        <v>135</v>
      </c>
      <c r="CR98" s="127">
        <f t="shared" si="135"/>
        <v>150</v>
      </c>
      <c r="CS98" s="127">
        <f t="shared" si="135"/>
        <v>162</v>
      </c>
      <c r="CT98" s="127">
        <f t="shared" si="135"/>
        <v>179</v>
      </c>
      <c r="CU98" s="39">
        <v>4.2</v>
      </c>
      <c r="CV98" s="39">
        <v>4.0999999999999996</v>
      </c>
      <c r="CW98" s="39">
        <v>4.5</v>
      </c>
      <c r="CX98" s="39">
        <v>4.8</v>
      </c>
      <c r="CY98" s="48">
        <f t="shared" ref="CY98:DB98" si="136">CY24+CY29+CY64+CY78+CY81</f>
        <v>212</v>
      </c>
      <c r="CZ98" s="48">
        <f t="shared" si="136"/>
        <v>281</v>
      </c>
      <c r="DA98" s="48">
        <f t="shared" si="136"/>
        <v>262</v>
      </c>
      <c r="DB98" s="48">
        <f t="shared" si="136"/>
        <v>264</v>
      </c>
      <c r="DC98" s="39">
        <v>6.7</v>
      </c>
      <c r="DD98" s="39">
        <v>7.9</v>
      </c>
      <c r="DE98" s="39">
        <v>7.3</v>
      </c>
      <c r="DF98" s="39">
        <v>7.1</v>
      </c>
      <c r="DG98" s="39">
        <v>88.1</v>
      </c>
      <c r="DH98" s="39">
        <v>89.1</v>
      </c>
      <c r="DI98" s="39">
        <v>91</v>
      </c>
      <c r="DJ98" s="39">
        <v>90.3</v>
      </c>
      <c r="DK98" s="39">
        <v>14.6</v>
      </c>
      <c r="DL98" s="39">
        <v>13.6</v>
      </c>
      <c r="DM98" s="39">
        <v>13.5</v>
      </c>
      <c r="DN98" s="39">
        <v>12.5</v>
      </c>
      <c r="DO98" s="39">
        <v>21.2</v>
      </c>
      <c r="DP98" s="39">
        <v>25.7</v>
      </c>
      <c r="DQ98" s="39">
        <v>27.2</v>
      </c>
      <c r="DR98" s="39">
        <v>26.8</v>
      </c>
      <c r="DS98" s="39">
        <v>18.8</v>
      </c>
      <c r="DT98" s="39">
        <v>17</v>
      </c>
      <c r="DU98" s="39">
        <v>15.2</v>
      </c>
      <c r="DV98" s="39">
        <v>12.6</v>
      </c>
      <c r="DW98" s="48">
        <f t="shared" ref="DW98" si="137">DW24+DW29+DW64+DW78+DW81</f>
        <v>717</v>
      </c>
      <c r="DX98" s="48">
        <f t="shared" ref="DX98:EA98" si="138">DX24+DX29+DX64+DX78+DX81</f>
        <v>8</v>
      </c>
      <c r="DY98" s="48">
        <f t="shared" si="138"/>
        <v>16</v>
      </c>
      <c r="DZ98" s="48">
        <f t="shared" si="138"/>
        <v>6</v>
      </c>
      <c r="EA98" s="48">
        <f t="shared" si="138"/>
        <v>44</v>
      </c>
      <c r="EB98" s="48">
        <f t="shared" ref="EB98:EE98" si="139">EB24+EB29+EB64+EB78+EB81</f>
        <v>12</v>
      </c>
      <c r="EC98" s="48">
        <f t="shared" si="139"/>
        <v>18</v>
      </c>
      <c r="ED98" s="48">
        <f t="shared" si="139"/>
        <v>21</v>
      </c>
      <c r="EE98" s="48">
        <f t="shared" si="139"/>
        <v>27</v>
      </c>
      <c r="EF98" s="48">
        <f t="shared" ref="EF98" si="140">EF24+EF29+EF64+EF78+EF81</f>
        <v>3638</v>
      </c>
      <c r="EG98" s="48">
        <f t="shared" ref="EG98:EI98" si="141">EG24+EG29+EG64+EG78+EG81</f>
        <v>3415</v>
      </c>
      <c r="EH98" s="48">
        <f t="shared" si="141"/>
        <v>3648</v>
      </c>
      <c r="EI98" s="48">
        <f t="shared" si="141"/>
        <v>3689</v>
      </c>
      <c r="EJ98" s="48">
        <f t="shared" ref="EJ98:EN98" si="142">EJ24+EJ29+EJ64+EJ78+EJ81</f>
        <v>727</v>
      </c>
      <c r="EK98" s="48">
        <f t="shared" si="142"/>
        <v>2</v>
      </c>
      <c r="EL98" s="48">
        <f t="shared" si="142"/>
        <v>5</v>
      </c>
      <c r="EM98" s="48">
        <f t="shared" si="142"/>
        <v>2</v>
      </c>
      <c r="EN98" s="48">
        <f t="shared" si="142"/>
        <v>0</v>
      </c>
      <c r="EO98" s="39">
        <v>1127.4851626299724</v>
      </c>
      <c r="EP98" s="39">
        <v>1032.6579981856669</v>
      </c>
      <c r="EQ98" s="39">
        <v>1100.3529092389829</v>
      </c>
      <c r="ER98" s="39">
        <v>1097.6553201618663</v>
      </c>
      <c r="ES98" s="39">
        <v>709.38300000000004</v>
      </c>
      <c r="ET98" s="39">
        <v>619.048</v>
      </c>
      <c r="EU98" s="39">
        <v>662.88400000000001</v>
      </c>
      <c r="EV98" s="39">
        <v>633.50699999999995</v>
      </c>
      <c r="EW98" s="39">
        <v>870.32100000000003</v>
      </c>
      <c r="EX98" s="39">
        <v>746.03399999999999</v>
      </c>
      <c r="EY98" s="39">
        <v>777.43100000000004</v>
      </c>
      <c r="EZ98" s="39">
        <v>744.005</v>
      </c>
      <c r="FA98" s="39">
        <v>589.89599999999996</v>
      </c>
      <c r="FB98" s="39">
        <v>519.81100000000004</v>
      </c>
      <c r="FC98" s="39">
        <v>563.13099999999997</v>
      </c>
      <c r="FD98" s="39">
        <v>538.86699999999996</v>
      </c>
      <c r="FE98" s="48">
        <f t="shared" ref="FE98:FH98" si="143">FE24+FE29+FE64+FE78+FE81</f>
        <v>802</v>
      </c>
      <c r="FF98" s="48">
        <f t="shared" si="143"/>
        <v>802</v>
      </c>
      <c r="FG98" s="48">
        <f t="shared" si="143"/>
        <v>859</v>
      </c>
      <c r="FH98" s="48">
        <f t="shared" si="143"/>
        <v>795</v>
      </c>
      <c r="FI98" s="39">
        <v>169.38</v>
      </c>
      <c r="FJ98" s="39">
        <v>162.584</v>
      </c>
      <c r="FK98" s="39">
        <v>165.71600000000001</v>
      </c>
      <c r="FL98" s="39">
        <v>146.14699999999999</v>
      </c>
      <c r="FM98" s="48">
        <f t="shared" ref="FM98:FP98" si="144">FM24+FM29+FM64+FM78+FM81</f>
        <v>1096</v>
      </c>
      <c r="FN98" s="48">
        <f t="shared" si="144"/>
        <v>905</v>
      </c>
      <c r="FO98" s="48">
        <f t="shared" si="144"/>
        <v>845</v>
      </c>
      <c r="FP98" s="48">
        <f t="shared" si="144"/>
        <v>867</v>
      </c>
      <c r="FQ98" s="39">
        <v>204.49199999999999</v>
      </c>
      <c r="FR98" s="39">
        <v>150.52799999999999</v>
      </c>
      <c r="FS98" s="39">
        <v>144.559</v>
      </c>
      <c r="FT98" s="39">
        <v>138.29599999999999</v>
      </c>
      <c r="FU98" s="48">
        <f t="shared" ref="FU98:FX98" si="145">FU24+FU29+FU64+FU78+FU81</f>
        <v>291</v>
      </c>
      <c r="FV98" s="48">
        <f t="shared" si="145"/>
        <v>247</v>
      </c>
      <c r="FW98" s="48">
        <f t="shared" si="145"/>
        <v>240</v>
      </c>
      <c r="FX98" s="48">
        <f t="shared" si="145"/>
        <v>211</v>
      </c>
      <c r="FY98" s="39">
        <v>52.098999999999997</v>
      </c>
      <c r="FZ98" s="39">
        <v>41.128999999999998</v>
      </c>
      <c r="GA98" s="39">
        <v>38.929000000000002</v>
      </c>
      <c r="GB98" s="39">
        <v>32.402000000000001</v>
      </c>
      <c r="GC98" s="48">
        <f t="shared" ref="GC98:GF98" si="146">GC24+GC29+GC64+GC78+GC81</f>
        <v>147</v>
      </c>
      <c r="GD98" s="48">
        <f t="shared" si="146"/>
        <v>141</v>
      </c>
      <c r="GE98" s="48">
        <f t="shared" si="146"/>
        <v>162</v>
      </c>
      <c r="GF98" s="48">
        <f t="shared" si="146"/>
        <v>163</v>
      </c>
      <c r="GG98" s="182">
        <v>36.661000000000001</v>
      </c>
      <c r="GH98" s="182">
        <v>34.079000000000001</v>
      </c>
      <c r="GI98" s="182">
        <v>39.067</v>
      </c>
      <c r="GJ98" s="182">
        <v>36.832000000000001</v>
      </c>
      <c r="GK98" s="182"/>
      <c r="GL98" s="212"/>
      <c r="GM98" s="212"/>
      <c r="GN98" s="212"/>
      <c r="GP98" s="212"/>
      <c r="GQ98" s="212"/>
      <c r="GR98" s="212"/>
      <c r="GS98" s="212"/>
      <c r="GU98" s="212"/>
      <c r="GV98" s="212"/>
      <c r="GW98" s="212"/>
      <c r="GX98" s="212"/>
      <c r="HE98" s="150"/>
      <c r="HF98" s="150"/>
      <c r="HG98" s="150"/>
      <c r="HH98" s="150"/>
      <c r="HI98" s="150"/>
      <c r="HJ98" s="212"/>
      <c r="HK98" s="212"/>
      <c r="HL98" s="227"/>
      <c r="HV98" s="228"/>
    </row>
    <row r="99" spans="1:230" s="128" customFormat="1" ht="36" x14ac:dyDescent="0.2">
      <c r="A99" s="132" t="s">
        <v>433</v>
      </c>
      <c r="B99" s="133" t="s">
        <v>465</v>
      </c>
      <c r="C99" s="48">
        <v>56814</v>
      </c>
      <c r="D99" s="48">
        <v>56926</v>
      </c>
      <c r="E99" s="48">
        <v>57119</v>
      </c>
      <c r="F99" s="154">
        <v>57311</v>
      </c>
      <c r="G99" s="154">
        <f>G23+G77</f>
        <v>57649</v>
      </c>
      <c r="H99" s="154">
        <f t="shared" ref="H99:L99" si="147">H23+H77</f>
        <v>51351</v>
      </c>
      <c r="I99" s="154">
        <f t="shared" si="147"/>
        <v>1542</v>
      </c>
      <c r="J99" s="154">
        <f t="shared" si="147"/>
        <v>174</v>
      </c>
      <c r="K99" s="154">
        <f t="shared" si="147"/>
        <v>572</v>
      </c>
      <c r="L99" s="154">
        <f t="shared" si="147"/>
        <v>4010</v>
      </c>
      <c r="M99" s="48">
        <f>M23+M77</f>
        <v>21954</v>
      </c>
      <c r="N99" s="48">
        <f>N23+N77</f>
        <v>21942</v>
      </c>
      <c r="O99" s="48">
        <f t="shared" ref="O99:P99" si="148">O23+O77</f>
        <v>22015</v>
      </c>
      <c r="P99" s="48">
        <f t="shared" si="148"/>
        <v>22115</v>
      </c>
      <c r="Q99" s="48">
        <f t="shared" ref="Q99" si="149">Q23+Q77</f>
        <v>22259</v>
      </c>
      <c r="R99" s="51">
        <v>23</v>
      </c>
      <c r="S99" s="51">
        <v>23.7</v>
      </c>
      <c r="T99" s="51">
        <v>24.242340372533281</v>
      </c>
      <c r="U99" s="51">
        <v>25.120075515700048</v>
      </c>
      <c r="V99" s="51">
        <v>25.810829524996535</v>
      </c>
      <c r="W99" s="38">
        <v>34.4</v>
      </c>
      <c r="X99" s="38">
        <v>34</v>
      </c>
      <c r="Y99" s="38">
        <v>33.846281586449308</v>
      </c>
      <c r="Z99" s="38">
        <v>33.993170271245731</v>
      </c>
      <c r="AA99" s="38">
        <v>33.859576235978395</v>
      </c>
      <c r="AB99" s="51">
        <v>57.4</v>
      </c>
      <c r="AC99" s="51">
        <v>57.6</v>
      </c>
      <c r="AD99" s="51">
        <v>58.088621958982586</v>
      </c>
      <c r="AE99" s="51">
        <v>59.113245786945775</v>
      </c>
      <c r="AF99" s="51">
        <v>59.67040576097493</v>
      </c>
      <c r="AG99" s="39">
        <v>4.7490572400895239</v>
      </c>
      <c r="AH99" s="39">
        <v>3.849704579025111</v>
      </c>
      <c r="AI99" s="39">
        <v>3.4640762463343107</v>
      </c>
      <c r="AJ99" s="39">
        <v>3.6397058823529416</v>
      </c>
      <c r="AK99" s="39">
        <v>3.4222948438634715</v>
      </c>
      <c r="AL99" s="48">
        <f>AL23+AL77</f>
        <v>2430.666666666667</v>
      </c>
      <c r="AM99" s="48">
        <f t="shared" ref="AM99:AO99" si="150">AM23+AM77</f>
        <v>2206.1666666666665</v>
      </c>
      <c r="AN99" s="48">
        <f t="shared" si="150"/>
        <v>2806.4166666666665</v>
      </c>
      <c r="AO99" s="48">
        <f t="shared" si="150"/>
        <v>2724.1666666666665</v>
      </c>
      <c r="AP99" s="48">
        <f t="shared" ref="AP99" si="151">AP23+AP77</f>
        <v>2657.5833333333335</v>
      </c>
      <c r="AQ99" s="191">
        <v>43502.1247508335</v>
      </c>
      <c r="AR99" s="191">
        <v>43021.164560521647</v>
      </c>
      <c r="AS99" s="191">
        <v>43912.042618813961</v>
      </c>
      <c r="AT99" s="191">
        <v>44517.958332606308</v>
      </c>
      <c r="AU99" s="191">
        <v>44534.041874100156</v>
      </c>
      <c r="AV99" s="163" t="s">
        <v>144</v>
      </c>
      <c r="AW99" s="163" t="s">
        <v>144</v>
      </c>
      <c r="AX99" s="163" t="s">
        <v>144</v>
      </c>
      <c r="AY99" s="163" t="s">
        <v>144</v>
      </c>
      <c r="AZ99" s="197" t="s">
        <v>144</v>
      </c>
      <c r="BA99" s="42">
        <v>9.5025851310394014</v>
      </c>
      <c r="BB99" s="42">
        <v>9.7122941783135968</v>
      </c>
      <c r="BC99" s="42">
        <v>8.5012136997466285</v>
      </c>
      <c r="BD99" s="42">
        <v>8.5062204463366538</v>
      </c>
      <c r="BE99" s="42">
        <v>7.9689153324428874</v>
      </c>
      <c r="BF99" s="42">
        <v>12.539930673554</v>
      </c>
      <c r="BG99" s="42">
        <v>14.374828626268165</v>
      </c>
      <c r="BH99" s="42">
        <v>11.517317207256735</v>
      </c>
      <c r="BI99" s="42">
        <v>10.544148539676087</v>
      </c>
      <c r="BJ99" s="42">
        <v>9.9945792112752407</v>
      </c>
      <c r="BK99" s="157">
        <f t="shared" ref="BK99:BL99" si="152">BK23+BK77</f>
        <v>10557</v>
      </c>
      <c r="BL99" s="157">
        <f t="shared" si="152"/>
        <v>10556</v>
      </c>
      <c r="BM99" s="159">
        <f t="shared" ref="BM99:BN99" si="153">BM23+BM77</f>
        <v>10370</v>
      </c>
      <c r="BN99" s="159">
        <f t="shared" si="153"/>
        <v>11051</v>
      </c>
      <c r="BO99" s="39">
        <v>35.75826465852041</v>
      </c>
      <c r="BP99" s="39">
        <v>34.350132625994696</v>
      </c>
      <c r="BQ99" s="39">
        <v>33.895853423336547</v>
      </c>
      <c r="BR99" s="39">
        <v>34.078363948963897</v>
      </c>
      <c r="BS99" s="51">
        <v>5.7023775693852423</v>
      </c>
      <c r="BT99" s="51">
        <v>5.7408109132247063</v>
      </c>
      <c r="BU99" s="51">
        <v>6.2680810028929601</v>
      </c>
      <c r="BV99" s="51">
        <v>5.0764636684462943</v>
      </c>
      <c r="BW99" s="39">
        <v>12.153073789902434</v>
      </c>
      <c r="BX99" s="39">
        <v>13.101553618794998</v>
      </c>
      <c r="BY99" s="39">
        <v>12.246865959498553</v>
      </c>
      <c r="BZ99" s="39">
        <v>14.740747443670257</v>
      </c>
      <c r="CA99" s="40">
        <v>89.808917197452232</v>
      </c>
      <c r="CB99" s="40">
        <v>89.459459459459453</v>
      </c>
      <c r="CC99" s="40">
        <v>91.34615384615384</v>
      </c>
      <c r="CD99" s="40">
        <v>87.593984962406012</v>
      </c>
      <c r="CE99" s="40">
        <v>3.4394904458598727</v>
      </c>
      <c r="CF99" s="40">
        <v>4.3360433604336039</v>
      </c>
      <c r="CG99" s="40">
        <v>4.1208791208791204</v>
      </c>
      <c r="CH99" s="40">
        <v>4.3859649122807012</v>
      </c>
      <c r="CI99" s="48">
        <v>3541</v>
      </c>
      <c r="CJ99" s="48">
        <v>4084</v>
      </c>
      <c r="CK99" s="48">
        <v>3826</v>
      </c>
      <c r="CL99" s="48">
        <v>3529</v>
      </c>
      <c r="CM99" s="39">
        <v>13.877675793038039</v>
      </c>
      <c r="CN99" s="39">
        <v>14.825247934484311</v>
      </c>
      <c r="CO99" s="39">
        <v>13.527225928715126</v>
      </c>
      <c r="CP99" s="39">
        <v>12.346974833723442</v>
      </c>
      <c r="CQ99" s="127">
        <f t="shared" ref="CQ99:CT99" si="154">CQ23+CQ77</f>
        <v>157</v>
      </c>
      <c r="CR99" s="127">
        <f t="shared" si="154"/>
        <v>157</v>
      </c>
      <c r="CS99" s="127">
        <f t="shared" si="154"/>
        <v>175</v>
      </c>
      <c r="CT99" s="127">
        <f t="shared" si="154"/>
        <v>168</v>
      </c>
      <c r="CU99" s="39">
        <v>4.5999999999999996</v>
      </c>
      <c r="CV99" s="39">
        <v>4</v>
      </c>
      <c r="CW99" s="39">
        <v>4.7</v>
      </c>
      <c r="CX99" s="39">
        <v>4.9000000000000004</v>
      </c>
      <c r="CY99" s="48">
        <f t="shared" ref="CY99:DB99" si="155">CY23+CY77</f>
        <v>253</v>
      </c>
      <c r="CZ99" s="48">
        <f t="shared" si="155"/>
        <v>292</v>
      </c>
      <c r="DA99" s="48">
        <f t="shared" si="155"/>
        <v>281</v>
      </c>
      <c r="DB99" s="48">
        <f t="shared" si="155"/>
        <v>243</v>
      </c>
      <c r="DC99" s="39">
        <v>8</v>
      </c>
      <c r="DD99" s="39">
        <v>7.9</v>
      </c>
      <c r="DE99" s="39">
        <v>7.8</v>
      </c>
      <c r="DF99" s="39">
        <v>7.1</v>
      </c>
      <c r="DG99" s="39">
        <v>86.1</v>
      </c>
      <c r="DH99" s="39">
        <v>88</v>
      </c>
      <c r="DI99" s="39">
        <v>88.3</v>
      </c>
      <c r="DJ99" s="39">
        <v>87.5</v>
      </c>
      <c r="DK99" s="39">
        <v>14.9</v>
      </c>
      <c r="DL99" s="39">
        <v>13</v>
      </c>
      <c r="DM99" s="39">
        <v>12.5</v>
      </c>
      <c r="DN99" s="39">
        <v>14</v>
      </c>
      <c r="DO99" s="39">
        <v>24.2</v>
      </c>
      <c r="DP99" s="39">
        <v>28.5</v>
      </c>
      <c r="DQ99" s="39">
        <v>34.1</v>
      </c>
      <c r="DR99" s="39">
        <v>33.799999999999997</v>
      </c>
      <c r="DS99" s="39">
        <v>31.5</v>
      </c>
      <c r="DT99" s="39">
        <v>30.7</v>
      </c>
      <c r="DU99" s="39">
        <v>27.3</v>
      </c>
      <c r="DV99" s="39">
        <v>16.899999999999999</v>
      </c>
      <c r="DW99" s="48">
        <f t="shared" ref="DW99" si="156">DW23+DW77</f>
        <v>536</v>
      </c>
      <c r="DX99" s="48">
        <f t="shared" ref="DX99:EA99" si="157">DX23+DX77</f>
        <v>37</v>
      </c>
      <c r="DY99" s="48">
        <f t="shared" si="157"/>
        <v>5</v>
      </c>
      <c r="DZ99" s="48">
        <f t="shared" si="157"/>
        <v>6</v>
      </c>
      <c r="EA99" s="48">
        <f t="shared" si="157"/>
        <v>64</v>
      </c>
      <c r="EB99" s="48">
        <f t="shared" ref="EB99:EE99" si="158">EB23+EB77</f>
        <v>24</v>
      </c>
      <c r="EC99" s="48">
        <f t="shared" si="158"/>
        <v>19</v>
      </c>
      <c r="ED99" s="48">
        <f t="shared" si="158"/>
        <v>14</v>
      </c>
      <c r="EE99" s="48">
        <f t="shared" si="158"/>
        <v>13</v>
      </c>
      <c r="EF99" s="48">
        <f t="shared" ref="EF99" si="159">EF23+EF77</f>
        <v>2010</v>
      </c>
      <c r="EG99" s="48">
        <f t="shared" ref="EG99:EI99" si="160">EG23+EG77</f>
        <v>1898</v>
      </c>
      <c r="EH99" s="48">
        <f t="shared" si="160"/>
        <v>2099</v>
      </c>
      <c r="EI99" s="48">
        <f t="shared" si="160"/>
        <v>2302</v>
      </c>
      <c r="EJ99" s="48">
        <f t="shared" ref="EJ99:EN99" si="161">EJ23+EJ77</f>
        <v>511</v>
      </c>
      <c r="EK99" s="48">
        <f t="shared" si="161"/>
        <v>5</v>
      </c>
      <c r="EL99" s="48">
        <f t="shared" si="161"/>
        <v>1</v>
      </c>
      <c r="EM99" s="48">
        <f t="shared" si="161"/>
        <v>3</v>
      </c>
      <c r="EN99" s="48">
        <f t="shared" si="161"/>
        <v>5</v>
      </c>
      <c r="EO99" s="39">
        <v>781.93382739102526</v>
      </c>
      <c r="EP99" s="39">
        <v>685.81752484191509</v>
      </c>
      <c r="EQ99" s="39">
        <v>740.87146815382164</v>
      </c>
      <c r="ER99" s="39">
        <v>806.03652024720316</v>
      </c>
      <c r="ES99" s="39">
        <v>728.16099999999994</v>
      </c>
      <c r="ET99" s="39">
        <v>627.26599999999996</v>
      </c>
      <c r="EU99" s="39">
        <v>625.86400000000003</v>
      </c>
      <c r="EV99" s="39">
        <v>621.79999999999995</v>
      </c>
      <c r="EW99" s="39">
        <v>876.45899999999995</v>
      </c>
      <c r="EX99" s="39">
        <v>778.75</v>
      </c>
      <c r="EY99" s="39">
        <v>751.45500000000004</v>
      </c>
      <c r="EZ99" s="39">
        <v>743.495</v>
      </c>
      <c r="FA99" s="39">
        <v>620.67899999999997</v>
      </c>
      <c r="FB99" s="39">
        <v>507.55</v>
      </c>
      <c r="FC99" s="39">
        <v>526.92700000000002</v>
      </c>
      <c r="FD99" s="39">
        <v>518.06200000000001</v>
      </c>
      <c r="FE99" s="48">
        <f t="shared" ref="FE99:FH99" si="162">FE23+FE77</f>
        <v>445</v>
      </c>
      <c r="FF99" s="48">
        <f t="shared" si="162"/>
        <v>468</v>
      </c>
      <c r="FG99" s="48">
        <f t="shared" si="162"/>
        <v>506</v>
      </c>
      <c r="FH99" s="48">
        <f t="shared" si="162"/>
        <v>512</v>
      </c>
      <c r="FI99" s="39">
        <v>168.13399999999999</v>
      </c>
      <c r="FJ99" s="39">
        <v>162.86600000000001</v>
      </c>
      <c r="FK99" s="39">
        <v>159.34399999999999</v>
      </c>
      <c r="FL99" s="39">
        <v>144.245</v>
      </c>
      <c r="FM99" s="48">
        <f t="shared" ref="FM99:FP99" si="163">FM23+FM77</f>
        <v>554</v>
      </c>
      <c r="FN99" s="48">
        <f t="shared" si="163"/>
        <v>495</v>
      </c>
      <c r="FO99" s="48">
        <f t="shared" si="163"/>
        <v>501</v>
      </c>
      <c r="FP99" s="48">
        <f t="shared" si="163"/>
        <v>523</v>
      </c>
      <c r="FQ99" s="39">
        <v>197.827</v>
      </c>
      <c r="FR99" s="39">
        <v>159.36699999999999</v>
      </c>
      <c r="FS99" s="39">
        <v>145.136</v>
      </c>
      <c r="FT99" s="39">
        <v>134.27199999999999</v>
      </c>
      <c r="FU99" s="48">
        <f t="shared" ref="FU99:FX99" si="164">FU23+FU77</f>
        <v>139</v>
      </c>
      <c r="FV99" s="48">
        <f t="shared" si="164"/>
        <v>117</v>
      </c>
      <c r="FW99" s="48">
        <f t="shared" si="164"/>
        <v>118</v>
      </c>
      <c r="FX99" s="48">
        <f t="shared" si="164"/>
        <v>109</v>
      </c>
      <c r="FY99" s="39">
        <v>48.877000000000002</v>
      </c>
      <c r="FZ99" s="39">
        <v>36.475999999999999</v>
      </c>
      <c r="GA99" s="39">
        <v>32.906999999999996</v>
      </c>
      <c r="GB99" s="39">
        <v>28.196999999999999</v>
      </c>
      <c r="GC99" s="48">
        <f t="shared" ref="GC99:GF99" si="165">GC23+GC77</f>
        <v>119</v>
      </c>
      <c r="GD99" s="48">
        <f t="shared" si="165"/>
        <v>122</v>
      </c>
      <c r="GE99" s="48">
        <f t="shared" si="165"/>
        <v>114</v>
      </c>
      <c r="GF99" s="48">
        <f t="shared" si="165"/>
        <v>138</v>
      </c>
      <c r="GG99" s="182">
        <v>44.938000000000002</v>
      </c>
      <c r="GH99" s="182">
        <v>41.225999999999999</v>
      </c>
      <c r="GI99" s="182">
        <v>35.982999999999997</v>
      </c>
      <c r="GJ99" s="182">
        <v>40.558</v>
      </c>
      <c r="GK99" s="182"/>
      <c r="GL99" s="212"/>
      <c r="GM99" s="212"/>
      <c r="GN99" s="212"/>
      <c r="GP99" s="212"/>
      <c r="GQ99" s="212"/>
      <c r="GR99" s="212"/>
      <c r="GS99" s="212"/>
      <c r="GU99" s="212"/>
      <c r="GV99" s="212"/>
      <c r="GW99" s="212"/>
      <c r="GX99" s="212"/>
      <c r="HE99" s="150"/>
      <c r="HF99" s="150"/>
      <c r="HG99" s="150"/>
      <c r="HH99" s="150"/>
      <c r="HI99" s="150"/>
      <c r="HJ99" s="212"/>
      <c r="HK99" s="212"/>
      <c r="HL99" s="227"/>
      <c r="HV99" s="228"/>
    </row>
    <row r="100" spans="1:230" s="128" customFormat="1" ht="36" x14ac:dyDescent="0.2">
      <c r="A100" s="132" t="s">
        <v>434</v>
      </c>
      <c r="B100" s="133" t="s">
        <v>466</v>
      </c>
      <c r="C100" s="48">
        <v>39634</v>
      </c>
      <c r="D100" s="48">
        <v>39514</v>
      </c>
      <c r="E100" s="48">
        <v>39607</v>
      </c>
      <c r="F100" s="154">
        <v>39817</v>
      </c>
      <c r="G100" s="154">
        <f>G26+G31</f>
        <v>39640</v>
      </c>
      <c r="H100" s="154">
        <f t="shared" ref="H100:L100" si="166">H26+H31</f>
        <v>38396</v>
      </c>
      <c r="I100" s="154">
        <f t="shared" si="166"/>
        <v>354</v>
      </c>
      <c r="J100" s="154">
        <f t="shared" si="166"/>
        <v>73</v>
      </c>
      <c r="K100" s="154">
        <f t="shared" si="166"/>
        <v>248</v>
      </c>
      <c r="L100" s="154">
        <f t="shared" si="166"/>
        <v>569</v>
      </c>
      <c r="M100" s="48">
        <f>M26+M31</f>
        <v>16448</v>
      </c>
      <c r="N100" s="48">
        <f>N26+N31</f>
        <v>16524</v>
      </c>
      <c r="O100" s="48">
        <f t="shared" ref="O100:P100" si="167">O26+O31</f>
        <v>16534</v>
      </c>
      <c r="P100" s="48">
        <f t="shared" si="167"/>
        <v>16567</v>
      </c>
      <c r="Q100" s="48">
        <f t="shared" ref="Q100" si="168">Q26+Q31</f>
        <v>16630</v>
      </c>
      <c r="R100" s="51">
        <v>31.8</v>
      </c>
      <c r="S100" s="51">
        <v>36.5</v>
      </c>
      <c r="T100" s="51">
        <v>33.221183800623052</v>
      </c>
      <c r="U100" s="51">
        <v>34.265821729342115</v>
      </c>
      <c r="V100" s="51">
        <v>34.334998111386241</v>
      </c>
      <c r="W100" s="38">
        <v>30.5</v>
      </c>
      <c r="X100" s="38">
        <v>30.8</v>
      </c>
      <c r="Y100" s="38">
        <v>31.293873312564902</v>
      </c>
      <c r="Z100" s="38">
        <v>31.735178854331693</v>
      </c>
      <c r="AA100" s="38">
        <v>32.030889327233808</v>
      </c>
      <c r="AB100" s="51">
        <v>62.4</v>
      </c>
      <c r="AC100" s="51">
        <v>63.3</v>
      </c>
      <c r="AD100" s="51">
        <v>64.51505711318795</v>
      </c>
      <c r="AE100" s="51">
        <v>66.001000583673815</v>
      </c>
      <c r="AF100" s="51">
        <v>66.365887438620049</v>
      </c>
      <c r="AG100" s="39">
        <v>5.3720707139920512</v>
      </c>
      <c r="AH100" s="39">
        <v>4.3308912176574239</v>
      </c>
      <c r="AI100" s="39">
        <v>3.9737513671162961</v>
      </c>
      <c r="AJ100" s="39">
        <v>4.0312628547922671</v>
      </c>
      <c r="AK100" s="39">
        <v>3.6108828631425181</v>
      </c>
      <c r="AL100" s="48">
        <f>AL26+AL31</f>
        <v>1273.3333333333333</v>
      </c>
      <c r="AM100" s="48">
        <f t="shared" ref="AM100:AO100" si="169">AM26+AM31</f>
        <v>1182.8333333333335</v>
      </c>
      <c r="AN100" s="48">
        <f t="shared" si="169"/>
        <v>1099.25</v>
      </c>
      <c r="AO100" s="48">
        <f t="shared" si="169"/>
        <v>1021.25</v>
      </c>
      <c r="AP100" s="48">
        <f t="shared" ref="AP100" si="170">AP26+AP31</f>
        <v>965.41666666666674</v>
      </c>
      <c r="AQ100" s="191">
        <v>44011.107187003356</v>
      </c>
      <c r="AR100" s="191">
        <v>44589.881734559793</v>
      </c>
      <c r="AS100" s="191">
        <v>46201.531235796167</v>
      </c>
      <c r="AT100" s="191">
        <v>45980.651731672406</v>
      </c>
      <c r="AU100" s="191">
        <v>46121.601917255299</v>
      </c>
      <c r="AV100" s="163" t="s">
        <v>144</v>
      </c>
      <c r="AW100" s="163" t="s">
        <v>144</v>
      </c>
      <c r="AX100" s="163" t="s">
        <v>144</v>
      </c>
      <c r="AY100" s="163" t="s">
        <v>144</v>
      </c>
      <c r="AZ100" s="197" t="s">
        <v>144</v>
      </c>
      <c r="BA100" s="42">
        <v>10.594514150822365</v>
      </c>
      <c r="BB100" s="42">
        <v>10.083601286173634</v>
      </c>
      <c r="BC100" s="42">
        <v>9.5966334804474993</v>
      </c>
      <c r="BD100" s="42">
        <v>10.347339076273954</v>
      </c>
      <c r="BE100" s="42">
        <v>8.8572149344096864</v>
      </c>
      <c r="BF100" s="42">
        <v>14.192605910776491</v>
      </c>
      <c r="BG100" s="42">
        <v>14.11924425840027</v>
      </c>
      <c r="BH100" s="42">
        <v>14.025480554313813</v>
      </c>
      <c r="BI100" s="42">
        <v>15.109170305676855</v>
      </c>
      <c r="BJ100" s="42">
        <v>11.82045974507027</v>
      </c>
      <c r="BK100" s="157">
        <f t="shared" ref="BK100:BL100" si="171">BK26+BK31</f>
        <v>6661</v>
      </c>
      <c r="BL100" s="157">
        <f t="shared" si="171"/>
        <v>6666</v>
      </c>
      <c r="BM100" s="159">
        <f t="shared" ref="BM100:BN100" si="172">BM26+BM31</f>
        <v>6741</v>
      </c>
      <c r="BN100" s="159">
        <f t="shared" si="172"/>
        <v>7286</v>
      </c>
      <c r="BO100" s="39">
        <v>30.761146974928689</v>
      </c>
      <c r="BP100" s="39">
        <v>29.342934293429344</v>
      </c>
      <c r="BQ100" s="39">
        <v>29.580180982050141</v>
      </c>
      <c r="BR100" s="39">
        <v>28.10870161954433</v>
      </c>
      <c r="BS100" s="51">
        <v>0.33028073862783364</v>
      </c>
      <c r="BT100" s="51">
        <v>0.45004500450045004</v>
      </c>
      <c r="BU100" s="51">
        <v>0.53404539385847793</v>
      </c>
      <c r="BV100" s="51">
        <v>0.53527312654405712</v>
      </c>
      <c r="BW100" s="39">
        <v>13.781714457288695</v>
      </c>
      <c r="BX100" s="39">
        <v>13.831383138313832</v>
      </c>
      <c r="BY100" s="39">
        <v>14.167037531523512</v>
      </c>
      <c r="BZ100" s="39">
        <v>15.495470765852321</v>
      </c>
      <c r="CA100" s="40">
        <v>76.60910518053376</v>
      </c>
      <c r="CB100" s="40">
        <v>75.161290322580641</v>
      </c>
      <c r="CC100" s="40">
        <v>74.56279809220986</v>
      </c>
      <c r="CD100" s="40">
        <v>79.224806201550393</v>
      </c>
      <c r="CE100" s="40">
        <v>9.2621664050235477</v>
      </c>
      <c r="CF100" s="40">
        <v>15.433070866141732</v>
      </c>
      <c r="CG100" s="40">
        <v>11.128775834658187</v>
      </c>
      <c r="CH100" s="40">
        <v>8.9922480620155039</v>
      </c>
      <c r="CI100" s="48">
        <v>2267</v>
      </c>
      <c r="CJ100" s="48">
        <v>2559</v>
      </c>
      <c r="CK100" s="48">
        <v>2219</v>
      </c>
      <c r="CL100" s="48">
        <v>2335</v>
      </c>
      <c r="CM100" s="39">
        <v>11.137859880121843</v>
      </c>
      <c r="CN100" s="39">
        <v>12.461711525257002</v>
      </c>
      <c r="CO100" s="39">
        <v>11.120967459016805</v>
      </c>
      <c r="CP100" s="39">
        <v>11.780316025265877</v>
      </c>
      <c r="CQ100" s="127">
        <f t="shared" ref="CQ100:CT100" si="173">CQ26+CQ31</f>
        <v>121</v>
      </c>
      <c r="CR100" s="127">
        <f t="shared" si="173"/>
        <v>102</v>
      </c>
      <c r="CS100" s="127">
        <f t="shared" si="173"/>
        <v>98</v>
      </c>
      <c r="CT100" s="127">
        <f t="shared" si="173"/>
        <v>74</v>
      </c>
      <c r="CU100" s="39">
        <v>5.6</v>
      </c>
      <c r="CV100" s="39">
        <v>4.0999999999999996</v>
      </c>
      <c r="CW100" s="39">
        <v>4.5999999999999996</v>
      </c>
      <c r="CX100" s="39">
        <v>3.3</v>
      </c>
      <c r="CY100" s="48">
        <f t="shared" ref="CY100:DB100" si="174">CY26+CY31</f>
        <v>156</v>
      </c>
      <c r="CZ100" s="48">
        <f t="shared" si="174"/>
        <v>166</v>
      </c>
      <c r="DA100" s="48">
        <f t="shared" si="174"/>
        <v>136</v>
      </c>
      <c r="DB100" s="48">
        <f t="shared" si="174"/>
        <v>125</v>
      </c>
      <c r="DC100" s="39">
        <v>8.3000000000000007</v>
      </c>
      <c r="DD100" s="39">
        <v>7.1</v>
      </c>
      <c r="DE100" s="39">
        <v>6.7</v>
      </c>
      <c r="DF100" s="39">
        <v>5.6</v>
      </c>
      <c r="DG100" s="39">
        <v>85.2</v>
      </c>
      <c r="DH100" s="39">
        <v>83.8</v>
      </c>
      <c r="DI100" s="39">
        <v>83.1</v>
      </c>
      <c r="DJ100" s="39">
        <v>73.099999999999994</v>
      </c>
      <c r="DK100" s="39">
        <v>12.4</v>
      </c>
      <c r="DL100" s="39">
        <v>11.3</v>
      </c>
      <c r="DM100" s="39">
        <v>13</v>
      </c>
      <c r="DN100" s="39">
        <v>11</v>
      </c>
      <c r="DO100" s="39">
        <v>19.399999999999999</v>
      </c>
      <c r="DP100" s="39">
        <v>23.6</v>
      </c>
      <c r="DQ100" s="39">
        <v>24.6</v>
      </c>
      <c r="DR100" s="39">
        <v>24.2</v>
      </c>
      <c r="DS100" s="39">
        <v>16</v>
      </c>
      <c r="DT100" s="39">
        <v>18.7</v>
      </c>
      <c r="DU100" s="39">
        <v>15.1</v>
      </c>
      <c r="DV100" s="39">
        <v>9.5</v>
      </c>
      <c r="DW100" s="48">
        <f t="shared" ref="DW100" si="175">DW26+DW31</f>
        <v>483</v>
      </c>
      <c r="DX100" s="48">
        <f t="shared" ref="DX100:EA100" si="176">DX26+DX31</f>
        <v>4</v>
      </c>
      <c r="DY100" s="48">
        <f t="shared" si="176"/>
        <v>0</v>
      </c>
      <c r="DZ100" s="48">
        <f t="shared" si="176"/>
        <v>2</v>
      </c>
      <c r="EA100" s="48">
        <f t="shared" si="176"/>
        <v>3</v>
      </c>
      <c r="EB100" s="48">
        <f t="shared" ref="EB100:EE100" si="177">EB26+EB31</f>
        <v>19</v>
      </c>
      <c r="EC100" s="48">
        <f t="shared" si="177"/>
        <v>13</v>
      </c>
      <c r="ED100" s="48">
        <f t="shared" si="177"/>
        <v>9</v>
      </c>
      <c r="EE100" s="48">
        <f t="shared" si="177"/>
        <v>8</v>
      </c>
      <c r="EF100" s="48">
        <f t="shared" ref="EF100" si="178">EF26+EF31</f>
        <v>2230</v>
      </c>
      <c r="EG100" s="48">
        <f t="shared" ref="EG100:EI100" si="179">EG26+EG31</f>
        <v>2101</v>
      </c>
      <c r="EH100" s="48">
        <f t="shared" si="179"/>
        <v>1965</v>
      </c>
      <c r="EI100" s="48">
        <f t="shared" si="179"/>
        <v>2063</v>
      </c>
      <c r="EJ100" s="48">
        <f t="shared" ref="EJ100:EN100" si="180">EJ26+EJ31</f>
        <v>403</v>
      </c>
      <c r="EK100" s="48">
        <f t="shared" si="180"/>
        <v>3</v>
      </c>
      <c r="EL100" s="48">
        <f t="shared" si="180"/>
        <v>0</v>
      </c>
      <c r="EM100" s="48">
        <f t="shared" si="180"/>
        <v>0</v>
      </c>
      <c r="EN100" s="48">
        <f t="shared" si="180"/>
        <v>1</v>
      </c>
      <c r="EO100" s="39">
        <v>1092.0666013712048</v>
      </c>
      <c r="EP100" s="39">
        <v>1017.2117456244401</v>
      </c>
      <c r="EQ100" s="39">
        <v>985.13523675832857</v>
      </c>
      <c r="ER100" s="39">
        <v>1041.7350468351553</v>
      </c>
      <c r="ES100" s="39">
        <v>741.22900000000004</v>
      </c>
      <c r="ET100" s="39">
        <v>649.46299999999997</v>
      </c>
      <c r="EU100" s="39">
        <v>610.577</v>
      </c>
      <c r="EV100" s="39">
        <v>618.15700000000004</v>
      </c>
      <c r="EW100" s="39">
        <v>931.87599999999998</v>
      </c>
      <c r="EX100" s="39">
        <v>808.49300000000005</v>
      </c>
      <c r="EY100" s="39">
        <v>737.95600000000002</v>
      </c>
      <c r="EZ100" s="39">
        <v>744.05700000000002</v>
      </c>
      <c r="FA100" s="39">
        <v>597.86</v>
      </c>
      <c r="FB100" s="39">
        <v>523.31200000000001</v>
      </c>
      <c r="FC100" s="39">
        <v>506.65600000000001</v>
      </c>
      <c r="FD100" s="39">
        <v>520.096</v>
      </c>
      <c r="FE100" s="48">
        <f t="shared" ref="FE100:FH100" si="181">FE26+FE31</f>
        <v>460</v>
      </c>
      <c r="FF100" s="48">
        <f t="shared" si="181"/>
        <v>471</v>
      </c>
      <c r="FG100" s="48">
        <f t="shared" si="181"/>
        <v>440</v>
      </c>
      <c r="FH100" s="48">
        <f t="shared" si="181"/>
        <v>443</v>
      </c>
      <c r="FI100" s="39">
        <v>164.738</v>
      </c>
      <c r="FJ100" s="39">
        <v>163.048</v>
      </c>
      <c r="FK100" s="39">
        <v>149.96100000000001</v>
      </c>
      <c r="FL100" s="39">
        <v>142.69499999999999</v>
      </c>
      <c r="FM100" s="48">
        <f t="shared" ref="FM100:FP100" si="182">FM26+FM31</f>
        <v>592</v>
      </c>
      <c r="FN100" s="48">
        <f t="shared" si="182"/>
        <v>455</v>
      </c>
      <c r="FO100" s="48">
        <f t="shared" si="182"/>
        <v>423</v>
      </c>
      <c r="FP100" s="48">
        <f t="shared" si="182"/>
        <v>484</v>
      </c>
      <c r="FQ100" s="39">
        <v>185.34700000000001</v>
      </c>
      <c r="FR100" s="39">
        <v>132.77199999999999</v>
      </c>
      <c r="FS100" s="39">
        <v>123.173</v>
      </c>
      <c r="FT100" s="39">
        <v>133.75</v>
      </c>
      <c r="FU100" s="48">
        <f t="shared" ref="FU100:FX100" si="183">FU26+FU31</f>
        <v>158</v>
      </c>
      <c r="FV100" s="48">
        <f t="shared" si="183"/>
        <v>142</v>
      </c>
      <c r="FW100" s="48">
        <f t="shared" si="183"/>
        <v>126</v>
      </c>
      <c r="FX100" s="48">
        <f t="shared" si="183"/>
        <v>137</v>
      </c>
      <c r="FY100" s="39">
        <v>47.783000000000001</v>
      </c>
      <c r="FZ100" s="39">
        <v>40.042000000000002</v>
      </c>
      <c r="GA100" s="39">
        <v>34.316000000000003</v>
      </c>
      <c r="GB100" s="39">
        <v>35.287999999999997</v>
      </c>
      <c r="GC100" s="48">
        <f t="shared" ref="GC100:GF100" si="184">GC26+GC31</f>
        <v>131</v>
      </c>
      <c r="GD100" s="48">
        <f t="shared" si="184"/>
        <v>107</v>
      </c>
      <c r="GE100" s="48">
        <f t="shared" si="184"/>
        <v>122</v>
      </c>
      <c r="GF100" s="48">
        <f t="shared" si="184"/>
        <v>130</v>
      </c>
      <c r="GG100" s="182">
        <v>53.942</v>
      </c>
      <c r="GH100" s="182">
        <v>37.506</v>
      </c>
      <c r="GI100" s="182">
        <v>44.805</v>
      </c>
      <c r="GJ100" s="182">
        <v>47.956000000000003</v>
      </c>
      <c r="GK100" s="182"/>
      <c r="GL100" s="212"/>
      <c r="GM100" s="212"/>
      <c r="GN100" s="212"/>
      <c r="GP100" s="212"/>
      <c r="GQ100" s="212"/>
      <c r="GR100" s="212"/>
      <c r="GS100" s="212"/>
      <c r="GU100" s="212"/>
      <c r="GV100" s="212"/>
      <c r="GW100" s="212"/>
      <c r="GX100" s="212"/>
      <c r="HE100" s="150"/>
      <c r="HF100" s="150"/>
      <c r="HG100" s="150"/>
      <c r="HH100" s="150"/>
      <c r="HI100" s="150"/>
      <c r="HJ100" s="212"/>
      <c r="HK100" s="212"/>
      <c r="HL100" s="227"/>
      <c r="HV100" s="228"/>
    </row>
    <row r="101" spans="1:230" s="128" customFormat="1" ht="36" x14ac:dyDescent="0.2">
      <c r="A101" s="132" t="s">
        <v>435</v>
      </c>
      <c r="B101" s="133" t="s">
        <v>467</v>
      </c>
      <c r="C101" s="48">
        <v>34613</v>
      </c>
      <c r="D101" s="48">
        <v>34412</v>
      </c>
      <c r="E101" s="48">
        <v>34072</v>
      </c>
      <c r="F101" s="154">
        <v>33764</v>
      </c>
      <c r="G101" s="154">
        <f>G25+G49</f>
        <v>33634</v>
      </c>
      <c r="H101" s="154">
        <f t="shared" ref="H101:L101" si="185">H25+H49</f>
        <v>31224</v>
      </c>
      <c r="I101" s="154">
        <f t="shared" si="185"/>
        <v>273</v>
      </c>
      <c r="J101" s="154">
        <f t="shared" si="185"/>
        <v>132</v>
      </c>
      <c r="K101" s="154">
        <f t="shared" si="185"/>
        <v>188</v>
      </c>
      <c r="L101" s="154">
        <f t="shared" si="185"/>
        <v>1817</v>
      </c>
      <c r="M101" s="48">
        <f>M25+M49</f>
        <v>15137</v>
      </c>
      <c r="N101" s="48">
        <f>N25+N49</f>
        <v>15121</v>
      </c>
      <c r="O101" s="48">
        <f t="shared" ref="O101:P101" si="186">O25+O49</f>
        <v>15061</v>
      </c>
      <c r="P101" s="48">
        <f t="shared" si="186"/>
        <v>14996</v>
      </c>
      <c r="Q101" s="48">
        <f t="shared" ref="Q101" si="187">Q25+Q49</f>
        <v>15001</v>
      </c>
      <c r="R101" s="51">
        <v>36.1</v>
      </c>
      <c r="S101" s="51">
        <v>36.5</v>
      </c>
      <c r="T101" s="51">
        <v>37.235915492957744</v>
      </c>
      <c r="U101" s="51">
        <v>37.748212867355043</v>
      </c>
      <c r="V101" s="51">
        <v>38.680524175327605</v>
      </c>
      <c r="W101" s="38">
        <v>28.9</v>
      </c>
      <c r="X101" s="38">
        <v>29.4</v>
      </c>
      <c r="Y101" s="38">
        <v>29.391627543035991</v>
      </c>
      <c r="Z101" s="38">
        <v>29.864972200158856</v>
      </c>
      <c r="AA101" s="38">
        <v>30.190289702264394</v>
      </c>
      <c r="AB101" s="51">
        <v>65</v>
      </c>
      <c r="AC101" s="51">
        <v>65.900000000000006</v>
      </c>
      <c r="AD101" s="51">
        <v>66.627543035993739</v>
      </c>
      <c r="AE101" s="51">
        <v>67.613185067513911</v>
      </c>
      <c r="AF101" s="51">
        <v>68.870813877592013</v>
      </c>
      <c r="AG101" s="39">
        <v>5.2773795081063195</v>
      </c>
      <c r="AH101" s="39">
        <v>4.8154637427231108</v>
      </c>
      <c r="AI101" s="39">
        <v>4.1997226074895977</v>
      </c>
      <c r="AJ101" s="39">
        <v>4.2735524609573208</v>
      </c>
      <c r="AK101" s="39">
        <v>4.1025060386473431</v>
      </c>
      <c r="AL101" s="48">
        <f>AL25+AL49</f>
        <v>1763.6666666666667</v>
      </c>
      <c r="AM101" s="48">
        <f t="shared" ref="AM101:AO101" si="188">AM25+AM49</f>
        <v>1625.9166666666665</v>
      </c>
      <c r="AN101" s="48">
        <f t="shared" si="188"/>
        <v>1526.0833333333335</v>
      </c>
      <c r="AO101" s="48">
        <f t="shared" si="188"/>
        <v>1468.75</v>
      </c>
      <c r="AP101" s="48">
        <f t="shared" ref="AP101" si="189">AP25+AP49</f>
        <v>1456.25</v>
      </c>
      <c r="AQ101" s="191">
        <v>49230.803919868187</v>
      </c>
      <c r="AR101" s="191">
        <v>45353.429816913689</v>
      </c>
      <c r="AS101" s="191">
        <v>46704.447118912736</v>
      </c>
      <c r="AT101" s="191">
        <v>44917.231074517244</v>
      </c>
      <c r="AU101" s="191">
        <v>45581.37390735565</v>
      </c>
      <c r="AV101" s="163" t="s">
        <v>144</v>
      </c>
      <c r="AW101" s="163" t="s">
        <v>144</v>
      </c>
      <c r="AX101" s="163" t="s">
        <v>144</v>
      </c>
      <c r="AY101" s="163" t="s">
        <v>144</v>
      </c>
      <c r="AZ101" s="197" t="s">
        <v>144</v>
      </c>
      <c r="BA101" s="42">
        <v>11.558307533539733</v>
      </c>
      <c r="BB101" s="42">
        <v>12.747917346061485</v>
      </c>
      <c r="BC101" s="42">
        <v>12.662434876339901</v>
      </c>
      <c r="BD101" s="42">
        <v>11.689965643881056</v>
      </c>
      <c r="BE101" s="42">
        <v>11.27430576202652</v>
      </c>
      <c r="BF101" s="42">
        <v>18.005540166204987</v>
      </c>
      <c r="BG101" s="42">
        <v>20.172910662824208</v>
      </c>
      <c r="BH101" s="42">
        <v>18.919671446470833</v>
      </c>
      <c r="BI101" s="42">
        <v>16.886651245067355</v>
      </c>
      <c r="BJ101" s="42">
        <v>16.734749455337692</v>
      </c>
      <c r="BK101" s="157">
        <f t="shared" ref="BK101:BL101" si="190">BK25+BK49</f>
        <v>4904</v>
      </c>
      <c r="BL101" s="157">
        <f t="shared" si="190"/>
        <v>4901</v>
      </c>
      <c r="BM101" s="159">
        <f t="shared" ref="BM101:BN101" si="191">BM25+BM49</f>
        <v>4756</v>
      </c>
      <c r="BN101" s="159">
        <f t="shared" si="191"/>
        <v>5141</v>
      </c>
      <c r="BO101" s="39">
        <v>44.820554649265908</v>
      </c>
      <c r="BP101" s="39">
        <v>48.153438073862475</v>
      </c>
      <c r="BQ101" s="39">
        <v>45.311185870479392</v>
      </c>
      <c r="BR101" s="39">
        <v>45.730402645399728</v>
      </c>
      <c r="BS101" s="51">
        <v>2.4061990212071778</v>
      </c>
      <c r="BT101" s="51">
        <v>2.3668639053254439</v>
      </c>
      <c r="BU101" s="51">
        <v>2.4810765349032802</v>
      </c>
      <c r="BV101" s="51">
        <v>2.7815600077805875</v>
      </c>
      <c r="BW101" s="39">
        <v>15.273246329526916</v>
      </c>
      <c r="BX101" s="39">
        <v>15.792695368292184</v>
      </c>
      <c r="BY101" s="39">
        <v>14.297729184188393</v>
      </c>
      <c r="BZ101" s="39">
        <v>15.891849834662516</v>
      </c>
      <c r="CA101" s="40">
        <v>82.758620689655174</v>
      </c>
      <c r="CB101" s="40">
        <v>87.028301886792448</v>
      </c>
      <c r="CC101" s="40">
        <v>86.033519553072622</v>
      </c>
      <c r="CD101" s="40">
        <v>86.666666666666671</v>
      </c>
      <c r="CE101" s="40">
        <v>6.6312997347480112</v>
      </c>
      <c r="CF101" s="40">
        <v>4.694835680751174</v>
      </c>
      <c r="CG101" s="40">
        <v>6.983240223463687</v>
      </c>
      <c r="CH101" s="40">
        <v>5.6410256410256414</v>
      </c>
      <c r="CI101" s="48">
        <v>1922</v>
      </c>
      <c r="CJ101" s="48">
        <v>2044</v>
      </c>
      <c r="CK101" s="48">
        <v>1836</v>
      </c>
      <c r="CL101" s="48">
        <v>1884</v>
      </c>
      <c r="CM101" s="39">
        <v>10.179006461179959</v>
      </c>
      <c r="CN101" s="39">
        <v>11.259598752850707</v>
      </c>
      <c r="CO101" s="39">
        <v>10.483161849512957</v>
      </c>
      <c r="CP101" s="39">
        <v>11.050177424557905</v>
      </c>
      <c r="CQ101" s="127">
        <f t="shared" ref="CQ101:CT101" si="192">CQ25+CQ49</f>
        <v>79</v>
      </c>
      <c r="CR101" s="127">
        <f t="shared" si="192"/>
        <v>98</v>
      </c>
      <c r="CS101" s="127">
        <f t="shared" si="192"/>
        <v>91</v>
      </c>
      <c r="CT101" s="127">
        <f t="shared" si="192"/>
        <v>85</v>
      </c>
      <c r="CU101" s="39">
        <v>4.3</v>
      </c>
      <c r="CV101" s="39">
        <v>5</v>
      </c>
      <c r="CW101" s="39">
        <v>5.0999999999999996</v>
      </c>
      <c r="CX101" s="39">
        <v>4.5999999999999996</v>
      </c>
      <c r="CY101" s="48">
        <f t="shared" ref="CY101:DB101" si="193">CY25+CY49</f>
        <v>135</v>
      </c>
      <c r="CZ101" s="48">
        <f t="shared" si="193"/>
        <v>155</v>
      </c>
      <c r="DA101" s="48">
        <f t="shared" si="193"/>
        <v>127</v>
      </c>
      <c r="DB101" s="48">
        <f t="shared" si="193"/>
        <v>124</v>
      </c>
      <c r="DC101" s="39">
        <v>7.9</v>
      </c>
      <c r="DD101" s="39">
        <v>9.5</v>
      </c>
      <c r="DE101" s="39">
        <v>7.6</v>
      </c>
      <c r="DF101" s="39">
        <v>6.8</v>
      </c>
      <c r="DG101" s="39">
        <v>85.3</v>
      </c>
      <c r="DH101" s="39">
        <v>89.3</v>
      </c>
      <c r="DI101" s="39">
        <v>89.6</v>
      </c>
      <c r="DJ101" s="39">
        <v>85.4</v>
      </c>
      <c r="DK101" s="39">
        <v>16.600000000000001</v>
      </c>
      <c r="DL101" s="39">
        <v>17.100000000000001</v>
      </c>
      <c r="DM101" s="39">
        <v>18.3</v>
      </c>
      <c r="DN101" s="39">
        <v>20.3</v>
      </c>
      <c r="DO101" s="39">
        <v>29.8</v>
      </c>
      <c r="DP101" s="39">
        <v>36.4</v>
      </c>
      <c r="DQ101" s="39">
        <v>40.200000000000003</v>
      </c>
      <c r="DR101" s="39">
        <v>41.1</v>
      </c>
      <c r="DS101" s="39">
        <v>31.2</v>
      </c>
      <c r="DT101" s="39">
        <v>32.200000000000003</v>
      </c>
      <c r="DU101" s="39">
        <v>29.2</v>
      </c>
      <c r="DV101" s="39">
        <v>17.5</v>
      </c>
      <c r="DW101" s="48">
        <f t="shared" ref="DW101" si="194">DW25+DW49</f>
        <v>315</v>
      </c>
      <c r="DX101" s="48">
        <f t="shared" ref="DX101:EA101" si="195">DX25+DX49</f>
        <v>3</v>
      </c>
      <c r="DY101" s="48">
        <f t="shared" si="195"/>
        <v>4</v>
      </c>
      <c r="DZ101" s="48">
        <f t="shared" si="195"/>
        <v>4</v>
      </c>
      <c r="EA101" s="48">
        <f t="shared" si="195"/>
        <v>44</v>
      </c>
      <c r="EB101" s="48">
        <f t="shared" ref="EB101:EE101" si="196">EB25+EB49</f>
        <v>11</v>
      </c>
      <c r="EC101" s="48">
        <f t="shared" si="196"/>
        <v>8</v>
      </c>
      <c r="ED101" s="48">
        <f t="shared" si="196"/>
        <v>7</v>
      </c>
      <c r="EE101" s="48">
        <f t="shared" si="196"/>
        <v>7</v>
      </c>
      <c r="EF101" s="48">
        <f t="shared" ref="EF101" si="197">EF25+EF49</f>
        <v>2378</v>
      </c>
      <c r="EG101" s="48">
        <f t="shared" ref="EG101:EI101" si="198">EG25+EG49</f>
        <v>2186</v>
      </c>
      <c r="EH101" s="48">
        <f t="shared" si="198"/>
        <v>2140</v>
      </c>
      <c r="EI101" s="48">
        <f t="shared" si="198"/>
        <v>2199</v>
      </c>
      <c r="EJ101" s="48">
        <f t="shared" ref="EJ101:EN101" si="199">EJ25+EJ49</f>
        <v>419</v>
      </c>
      <c r="EK101" s="48">
        <f t="shared" si="199"/>
        <v>1</v>
      </c>
      <c r="EL101" s="48">
        <f t="shared" si="199"/>
        <v>0</v>
      </c>
      <c r="EM101" s="48">
        <f t="shared" si="199"/>
        <v>0</v>
      </c>
      <c r="EN101" s="48">
        <f t="shared" si="199"/>
        <v>7</v>
      </c>
      <c r="EO101" s="39">
        <v>1252.1391148671773</v>
      </c>
      <c r="EP101" s="39">
        <v>1197.5457433987071</v>
      </c>
      <c r="EQ101" s="39">
        <v>1209.2786709236289</v>
      </c>
      <c r="ER101" s="39">
        <v>1290.7959614933084</v>
      </c>
      <c r="ES101" s="39">
        <v>727.11</v>
      </c>
      <c r="ET101" s="39">
        <v>655.72900000000004</v>
      </c>
      <c r="EU101" s="39">
        <v>654.67100000000005</v>
      </c>
      <c r="EV101" s="39">
        <v>692.245</v>
      </c>
      <c r="EW101" s="39">
        <v>909.51199999999994</v>
      </c>
      <c r="EX101" s="39">
        <v>849.14200000000005</v>
      </c>
      <c r="EY101" s="39">
        <v>806.81299999999999</v>
      </c>
      <c r="EZ101" s="39">
        <v>835.12099999999998</v>
      </c>
      <c r="FA101" s="39">
        <v>602.11800000000005</v>
      </c>
      <c r="FB101" s="39">
        <v>510.37099999999998</v>
      </c>
      <c r="FC101" s="39">
        <v>532.03700000000003</v>
      </c>
      <c r="FD101" s="39">
        <v>570.31500000000005</v>
      </c>
      <c r="FE101" s="48">
        <f t="shared" ref="FE101:FH101" si="200">FE25+FE49</f>
        <v>530</v>
      </c>
      <c r="FF101" s="48">
        <f t="shared" si="200"/>
        <v>502</v>
      </c>
      <c r="FG101" s="48">
        <f t="shared" si="200"/>
        <v>466</v>
      </c>
      <c r="FH101" s="48">
        <f t="shared" si="200"/>
        <v>498</v>
      </c>
      <c r="FI101" s="39">
        <v>177.054</v>
      </c>
      <c r="FJ101" s="39">
        <v>162.578</v>
      </c>
      <c r="FK101" s="39">
        <v>155.29900000000001</v>
      </c>
      <c r="FL101" s="39">
        <v>170.12700000000001</v>
      </c>
      <c r="FM101" s="48">
        <f t="shared" ref="FM101:FP101" si="201">FM25+FM49</f>
        <v>753</v>
      </c>
      <c r="FN101" s="48">
        <f t="shared" si="201"/>
        <v>647</v>
      </c>
      <c r="FO101" s="48">
        <f t="shared" si="201"/>
        <v>560</v>
      </c>
      <c r="FP101" s="48">
        <f t="shared" si="201"/>
        <v>553</v>
      </c>
      <c r="FQ101" s="39">
        <v>217.017</v>
      </c>
      <c r="FR101" s="39">
        <v>179.44900000000001</v>
      </c>
      <c r="FS101" s="39">
        <v>154.774</v>
      </c>
      <c r="FT101" s="39">
        <v>157.839</v>
      </c>
      <c r="FU101" s="48">
        <f t="shared" ref="FU101:FX101" si="202">FU25+FU49</f>
        <v>157</v>
      </c>
      <c r="FV101" s="48">
        <f t="shared" si="202"/>
        <v>124</v>
      </c>
      <c r="FW101" s="48">
        <f t="shared" si="202"/>
        <v>116</v>
      </c>
      <c r="FX101" s="48">
        <f t="shared" si="202"/>
        <v>91</v>
      </c>
      <c r="FY101" s="39">
        <v>42.011000000000003</v>
      </c>
      <c r="FZ101" s="39">
        <v>32.436999999999998</v>
      </c>
      <c r="GA101" s="39">
        <v>30.658999999999999</v>
      </c>
      <c r="GB101" s="39">
        <v>24.952999999999999</v>
      </c>
      <c r="GC101" s="48">
        <f t="shared" ref="GC101:GF101" si="203">GC25+GC49</f>
        <v>95</v>
      </c>
      <c r="GD101" s="48">
        <f t="shared" si="203"/>
        <v>86</v>
      </c>
      <c r="GE101" s="48">
        <f t="shared" si="203"/>
        <v>90</v>
      </c>
      <c r="GF101" s="48">
        <f t="shared" si="203"/>
        <v>101</v>
      </c>
      <c r="GG101" s="182">
        <v>38.889000000000003</v>
      </c>
      <c r="GH101" s="182">
        <v>35.636000000000003</v>
      </c>
      <c r="GI101" s="182">
        <v>34.896999999999998</v>
      </c>
      <c r="GJ101" s="182">
        <v>42.177999999999997</v>
      </c>
      <c r="GK101" s="182"/>
      <c r="GL101" s="212"/>
      <c r="GM101" s="212"/>
      <c r="GN101" s="212"/>
      <c r="GP101" s="212"/>
      <c r="GQ101" s="212"/>
      <c r="GR101" s="212"/>
      <c r="GS101" s="212"/>
      <c r="GU101" s="212"/>
      <c r="GV101" s="212"/>
      <c r="GW101" s="212"/>
      <c r="GX101" s="212"/>
      <c r="HE101" s="150"/>
      <c r="HF101" s="150"/>
      <c r="HG101" s="150"/>
      <c r="HH101" s="150"/>
      <c r="HI101" s="150"/>
      <c r="HJ101" s="212"/>
      <c r="HK101" s="212"/>
      <c r="HL101" s="227"/>
      <c r="HV101" s="228"/>
    </row>
    <row r="102" spans="1:230" s="128" customFormat="1" ht="72" x14ac:dyDescent="0.2">
      <c r="A102" s="132" t="s">
        <v>436</v>
      </c>
      <c r="B102" s="133" t="s">
        <v>474</v>
      </c>
      <c r="C102" s="48">
        <v>47623</v>
      </c>
      <c r="D102" s="48">
        <v>47632</v>
      </c>
      <c r="E102" s="48">
        <v>47891</v>
      </c>
      <c r="F102" s="154">
        <v>47525</v>
      </c>
      <c r="G102" s="154">
        <f t="shared" ref="G102:L102" si="204">G38+G48+G60+G66+G71</f>
        <v>47201</v>
      </c>
      <c r="H102" s="154">
        <f t="shared" si="204"/>
        <v>43927</v>
      </c>
      <c r="I102" s="154">
        <f t="shared" si="204"/>
        <v>585</v>
      </c>
      <c r="J102" s="154">
        <f t="shared" si="204"/>
        <v>657</v>
      </c>
      <c r="K102" s="154">
        <f t="shared" si="204"/>
        <v>643</v>
      </c>
      <c r="L102" s="154">
        <f t="shared" si="204"/>
        <v>1389</v>
      </c>
      <c r="M102" s="48">
        <f t="shared" ref="M102:Q102" si="205">M38+M48+M60+M66+M71</f>
        <v>19910</v>
      </c>
      <c r="N102" s="48">
        <f t="shared" si="205"/>
        <v>19972</v>
      </c>
      <c r="O102" s="48">
        <f t="shared" si="205"/>
        <v>20028</v>
      </c>
      <c r="P102" s="48">
        <f t="shared" si="205"/>
        <v>19999</v>
      </c>
      <c r="Q102" s="48">
        <f t="shared" si="205"/>
        <v>20021</v>
      </c>
      <c r="R102" s="51">
        <v>27.6</v>
      </c>
      <c r="S102" s="51">
        <v>28</v>
      </c>
      <c r="T102" s="51">
        <v>28.530941584422514</v>
      </c>
      <c r="U102" s="51">
        <v>29.325641804135884</v>
      </c>
      <c r="V102" s="51">
        <v>30.32363897337753</v>
      </c>
      <c r="W102" s="38">
        <v>30.7</v>
      </c>
      <c r="X102" s="38">
        <v>30.8</v>
      </c>
      <c r="Y102" s="38">
        <v>31.148306214990662</v>
      </c>
      <c r="Z102" s="38">
        <v>30.998886752352998</v>
      </c>
      <c r="AA102" s="38">
        <v>30.986637503844712</v>
      </c>
      <c r="AB102" s="51">
        <v>58.3</v>
      </c>
      <c r="AC102" s="51">
        <v>58.7</v>
      </c>
      <c r="AD102" s="51">
        <v>59.679247799413183</v>
      </c>
      <c r="AE102" s="51">
        <v>60.324528556488886</v>
      </c>
      <c r="AF102" s="51">
        <v>61.310276477222239</v>
      </c>
      <c r="AG102" s="39">
        <v>5.5889239539855442</v>
      </c>
      <c r="AH102" s="39">
        <v>4.8966500356379186</v>
      </c>
      <c r="AI102" s="39">
        <v>5.2126638951071316</v>
      </c>
      <c r="AJ102" s="39">
        <v>5.9321420820371848</v>
      </c>
      <c r="AK102" s="39">
        <v>4.8230716976471317</v>
      </c>
      <c r="AL102" s="48">
        <f>AL38+AL48+AL60+AL66+AL71</f>
        <v>1567.75</v>
      </c>
      <c r="AM102" s="48">
        <f>AM38+AM48+AM60+AM66+AM71</f>
        <v>1418.5833333333335</v>
      </c>
      <c r="AN102" s="48">
        <f>AN38+AN48+AN60+AN66+AN71</f>
        <v>1340.0833333333333</v>
      </c>
      <c r="AO102" s="48">
        <f>AO38+AO48+AO60+AO66+AO71</f>
        <v>1381.1666666666667</v>
      </c>
      <c r="AP102" s="48">
        <f>AP38+AP48+AP60+AP66+AP71</f>
        <v>1440.5</v>
      </c>
      <c r="AQ102" s="191">
        <v>50286.08188976378</v>
      </c>
      <c r="AR102" s="191">
        <v>47906.245095776598</v>
      </c>
      <c r="AS102" s="191">
        <v>48944.327877087955</v>
      </c>
      <c r="AT102" s="191">
        <v>49304.696685954761</v>
      </c>
      <c r="AU102" s="191">
        <v>50394.584648630327</v>
      </c>
      <c r="AV102" s="163" t="s">
        <v>144</v>
      </c>
      <c r="AW102" s="163" t="s">
        <v>144</v>
      </c>
      <c r="AX102" s="163" t="s">
        <v>144</v>
      </c>
      <c r="AY102" s="163" t="s">
        <v>144</v>
      </c>
      <c r="AZ102" s="197" t="s">
        <v>144</v>
      </c>
      <c r="BA102" s="42">
        <v>9.7408706063456769</v>
      </c>
      <c r="BB102" s="42">
        <v>9.3533018565599164</v>
      </c>
      <c r="BC102" s="42">
        <v>9.5729764181007013</v>
      </c>
      <c r="BD102" s="42">
        <v>9.1067859021567603</v>
      </c>
      <c r="BE102" s="42">
        <v>9.2095506451134508</v>
      </c>
      <c r="BF102" s="42">
        <v>13.327297419646898</v>
      </c>
      <c r="BG102" s="42">
        <v>12.537394615175415</v>
      </c>
      <c r="BH102" s="42">
        <v>12.11931207452526</v>
      </c>
      <c r="BI102" s="42">
        <v>11.758884390463338</v>
      </c>
      <c r="BJ102" s="42">
        <v>11.37457981284637</v>
      </c>
      <c r="BK102" s="157">
        <f>BK38+BK48+BK60+BK66+BK71</f>
        <v>7824</v>
      </c>
      <c r="BL102" s="157">
        <f>BL38+BL48+BL60+BL66+BL71</f>
        <v>7764</v>
      </c>
      <c r="BM102" s="159">
        <f>BM38+BM48+BM60+BM66+BM71</f>
        <v>7569</v>
      </c>
      <c r="BN102" s="159">
        <f>BN38+BN48+BN60+BN66+BN71</f>
        <v>7724</v>
      </c>
      <c r="BO102" s="39">
        <v>36.656441717791409</v>
      </c>
      <c r="BP102" s="39">
        <v>36.733642452344149</v>
      </c>
      <c r="BQ102" s="39">
        <v>38.570958723894094</v>
      </c>
      <c r="BR102" s="39">
        <v>37.648886587260492</v>
      </c>
      <c r="BS102" s="51">
        <v>1.2397750511247443</v>
      </c>
      <c r="BT102" s="51">
        <v>1.1591962905718702</v>
      </c>
      <c r="BU102" s="51">
        <v>0.58378556158526562</v>
      </c>
      <c r="BV102" s="51">
        <v>0.98394614189539109</v>
      </c>
      <c r="BW102" s="39">
        <v>15.78476482617587</v>
      </c>
      <c r="BX102" s="39">
        <v>15.636269963936115</v>
      </c>
      <c r="BY102" s="39">
        <v>15.203091596776845</v>
      </c>
      <c r="BZ102" s="39">
        <v>16.170378042465046</v>
      </c>
      <c r="CA102" s="40">
        <v>90.983606557377044</v>
      </c>
      <c r="CB102" s="40">
        <v>92.296072507552879</v>
      </c>
      <c r="CC102" s="40">
        <v>91.819699499165282</v>
      </c>
      <c r="CD102" s="40">
        <v>93.322203672787978</v>
      </c>
      <c r="CE102" s="40">
        <v>3.9344262295081971</v>
      </c>
      <c r="CF102" s="40">
        <v>3.1914893617021276</v>
      </c>
      <c r="CG102" s="40">
        <v>3.8397328881469113</v>
      </c>
      <c r="CH102" s="40">
        <v>2.003338898163606</v>
      </c>
      <c r="CI102" s="48">
        <v>2897</v>
      </c>
      <c r="CJ102" s="48">
        <v>3023</v>
      </c>
      <c r="CK102" s="48">
        <v>2899</v>
      </c>
      <c r="CL102" s="48">
        <v>2912</v>
      </c>
      <c r="CM102" s="39">
        <v>11.756303237142939</v>
      </c>
      <c r="CN102" s="39">
        <v>12.386552211591649</v>
      </c>
      <c r="CO102" s="39">
        <v>12.176835030977632</v>
      </c>
      <c r="CP102" s="39">
        <v>12.241877984798547</v>
      </c>
      <c r="CQ102" s="127">
        <f>CQ38+CQ48+CQ60+CQ66+CQ71</f>
        <v>125</v>
      </c>
      <c r="CR102" s="127">
        <f t="shared" ref="CR102:CT102" si="206">CR38+CR48+CR60+CR66+CR71</f>
        <v>151</v>
      </c>
      <c r="CS102" s="127">
        <f t="shared" si="206"/>
        <v>128</v>
      </c>
      <c r="CT102" s="127">
        <f t="shared" si="206"/>
        <v>105</v>
      </c>
      <c r="CU102" s="39">
        <v>4.4000000000000004</v>
      </c>
      <c r="CV102" s="39">
        <v>5.0999999999999996</v>
      </c>
      <c r="CW102" s="39">
        <v>4.5999999999999996</v>
      </c>
      <c r="CX102" s="39">
        <v>3.7</v>
      </c>
      <c r="CY102" s="48">
        <f>CY38+CY48+CY60+CY66+CY71</f>
        <v>207</v>
      </c>
      <c r="CZ102" s="48">
        <f t="shared" ref="CZ102:DB102" si="207">CZ38+CZ48+CZ60+CZ66+CZ71</f>
        <v>229</v>
      </c>
      <c r="DA102" s="48">
        <f t="shared" si="207"/>
        <v>195</v>
      </c>
      <c r="DB102" s="48">
        <f t="shared" si="207"/>
        <v>174</v>
      </c>
      <c r="DC102" s="39">
        <v>7.5</v>
      </c>
      <c r="DD102" s="39">
        <v>8.3000000000000007</v>
      </c>
      <c r="DE102" s="39">
        <v>7.3</v>
      </c>
      <c r="DF102" s="39">
        <v>6.2</v>
      </c>
      <c r="DG102" s="39">
        <v>82.8</v>
      </c>
      <c r="DH102" s="39">
        <v>83.2</v>
      </c>
      <c r="DI102" s="39">
        <v>86.6</v>
      </c>
      <c r="DJ102" s="39">
        <v>88.7</v>
      </c>
      <c r="DK102" s="39">
        <v>16.899999999999999</v>
      </c>
      <c r="DL102" s="39">
        <v>16.3</v>
      </c>
      <c r="DM102" s="39">
        <v>19.5</v>
      </c>
      <c r="DN102" s="39">
        <v>17</v>
      </c>
      <c r="DO102" s="39">
        <v>26.2</v>
      </c>
      <c r="DP102" s="39">
        <v>29.6</v>
      </c>
      <c r="DQ102" s="39">
        <v>35.1</v>
      </c>
      <c r="DR102" s="39">
        <v>33.4</v>
      </c>
      <c r="DS102" s="39">
        <v>28</v>
      </c>
      <c r="DT102" s="39">
        <v>24.7</v>
      </c>
      <c r="DU102" s="39">
        <v>24.3</v>
      </c>
      <c r="DV102" s="39">
        <v>19.600000000000001</v>
      </c>
      <c r="DW102" s="48">
        <f>DW38+DW48+DW60+DW66+DW71</f>
        <v>523</v>
      </c>
      <c r="DX102" s="48">
        <f t="shared" ref="DX102:EA102" si="208">DX38+DX48+DX60+DX66+DX71</f>
        <v>9</v>
      </c>
      <c r="DY102" s="48">
        <f t="shared" si="208"/>
        <v>13</v>
      </c>
      <c r="DZ102" s="48">
        <f t="shared" si="208"/>
        <v>14</v>
      </c>
      <c r="EA102" s="48">
        <f t="shared" si="208"/>
        <v>21</v>
      </c>
      <c r="EB102" s="48">
        <f t="shared" ref="EB102:EE102" si="209">EB38+EB48+EB60+EB66+EB71</f>
        <v>23</v>
      </c>
      <c r="EC102" s="48">
        <f t="shared" si="209"/>
        <v>15</v>
      </c>
      <c r="ED102" s="48">
        <f t="shared" si="209"/>
        <v>13</v>
      </c>
      <c r="EE102" s="48">
        <f t="shared" si="209"/>
        <v>18</v>
      </c>
      <c r="EF102" s="48">
        <f>EF38+EF48+EF60+EF66+EF71</f>
        <v>2517</v>
      </c>
      <c r="EG102" s="48">
        <f t="shared" ref="EG102:EI102" si="210">EG38+EG48+EG60+EG66+EG71</f>
        <v>2392</v>
      </c>
      <c r="EH102" s="48">
        <f t="shared" si="210"/>
        <v>2309</v>
      </c>
      <c r="EI102" s="48">
        <f t="shared" si="210"/>
        <v>2258</v>
      </c>
      <c r="EJ102" s="48">
        <f t="shared" ref="EJ102:EN102" si="211">EJ38+EJ48+EJ60+EJ66+EJ71</f>
        <v>468</v>
      </c>
      <c r="EK102" s="48">
        <f t="shared" si="211"/>
        <v>0</v>
      </c>
      <c r="EL102" s="48">
        <f t="shared" si="211"/>
        <v>4</v>
      </c>
      <c r="EM102" s="48">
        <f t="shared" si="211"/>
        <v>0</v>
      </c>
      <c r="EN102" s="48">
        <f t="shared" si="211"/>
        <v>2</v>
      </c>
      <c r="EO102" s="39">
        <v>1013.6727009121846</v>
      </c>
      <c r="EP102" s="39">
        <v>972.81249364540338</v>
      </c>
      <c r="EQ102" s="39">
        <v>969.37383236423943</v>
      </c>
      <c r="ER102" s="39">
        <v>942.97467165020566</v>
      </c>
      <c r="ES102" s="39">
        <v>760.64200000000005</v>
      </c>
      <c r="ET102" s="39">
        <v>688.25599999999997</v>
      </c>
      <c r="EU102" s="39">
        <v>687.59199999999998</v>
      </c>
      <c r="EV102" s="39">
        <v>650.15</v>
      </c>
      <c r="EW102" s="39">
        <v>945.02</v>
      </c>
      <c r="EX102" s="39">
        <v>907.59799999999996</v>
      </c>
      <c r="EY102" s="39">
        <v>855.303</v>
      </c>
      <c r="EZ102" s="39">
        <v>795.29300000000001</v>
      </c>
      <c r="FA102" s="39">
        <v>610.02</v>
      </c>
      <c r="FB102" s="39">
        <v>515.45000000000005</v>
      </c>
      <c r="FC102" s="39">
        <v>552.74199999999996</v>
      </c>
      <c r="FD102" s="39">
        <v>523.65700000000004</v>
      </c>
      <c r="FE102" s="48">
        <f t="shared" ref="FE102:FH102" si="212">FE38+FE48+FE60+FE66+FE71</f>
        <v>544</v>
      </c>
      <c r="FF102" s="48">
        <f t="shared" si="212"/>
        <v>510</v>
      </c>
      <c r="FG102" s="48">
        <f t="shared" si="212"/>
        <v>530</v>
      </c>
      <c r="FH102" s="48">
        <f t="shared" si="212"/>
        <v>481</v>
      </c>
      <c r="FI102" s="39">
        <v>174.14500000000001</v>
      </c>
      <c r="FJ102" s="39">
        <v>156.642</v>
      </c>
      <c r="FK102" s="39">
        <v>162.74</v>
      </c>
      <c r="FL102" s="39">
        <v>143.25200000000001</v>
      </c>
      <c r="FM102" s="48">
        <f t="shared" ref="FM102:FP102" si="213">FM38+FM48+FM60+FM66+FM71</f>
        <v>756</v>
      </c>
      <c r="FN102" s="48">
        <f t="shared" si="213"/>
        <v>643</v>
      </c>
      <c r="FO102" s="48">
        <f t="shared" si="213"/>
        <v>508</v>
      </c>
      <c r="FP102" s="48">
        <f t="shared" si="213"/>
        <v>523</v>
      </c>
      <c r="FQ102" s="39">
        <v>223.65899999999999</v>
      </c>
      <c r="FR102" s="39">
        <v>177.762</v>
      </c>
      <c r="FS102" s="39">
        <v>146.62</v>
      </c>
      <c r="FT102" s="39">
        <v>143.886</v>
      </c>
      <c r="FU102" s="48">
        <f t="shared" ref="FU102:FX102" si="214">FU38+FU48+FU60+FU66+FU71</f>
        <v>226</v>
      </c>
      <c r="FV102" s="48">
        <f t="shared" si="214"/>
        <v>173</v>
      </c>
      <c r="FW102" s="48">
        <f t="shared" si="214"/>
        <v>134</v>
      </c>
      <c r="FX102" s="48">
        <f t="shared" si="214"/>
        <v>127</v>
      </c>
      <c r="FY102" s="39">
        <v>62.996000000000002</v>
      </c>
      <c r="FZ102" s="39">
        <v>45.439</v>
      </c>
      <c r="GA102" s="39">
        <v>37.161999999999999</v>
      </c>
      <c r="GB102" s="39">
        <v>33.061999999999998</v>
      </c>
      <c r="GC102" s="48">
        <f t="shared" ref="GC102:GF102" si="215">GC38+GC48+GC60+GC66+GC71</f>
        <v>130</v>
      </c>
      <c r="GD102" s="48">
        <f t="shared" si="215"/>
        <v>110</v>
      </c>
      <c r="GE102" s="48">
        <f t="shared" si="215"/>
        <v>106</v>
      </c>
      <c r="GF102" s="48">
        <f t="shared" si="215"/>
        <v>103</v>
      </c>
      <c r="GG102" s="182">
        <v>46.631999999999998</v>
      </c>
      <c r="GH102" s="182">
        <v>38.423000000000002</v>
      </c>
      <c r="GI102" s="182">
        <v>39.609000000000002</v>
      </c>
      <c r="GJ102" s="182">
        <v>37.444000000000003</v>
      </c>
      <c r="GK102" s="182"/>
      <c r="GL102" s="212"/>
      <c r="GM102" s="212"/>
      <c r="GN102" s="212"/>
      <c r="GP102" s="212"/>
      <c r="GQ102" s="212"/>
      <c r="GR102" s="212"/>
      <c r="GS102" s="212"/>
      <c r="GU102" s="212"/>
      <c r="GV102" s="212"/>
      <c r="GW102" s="212"/>
      <c r="GX102" s="212"/>
      <c r="HE102" s="150"/>
      <c r="HF102" s="150"/>
      <c r="HG102" s="150"/>
      <c r="HH102" s="150"/>
      <c r="HI102" s="150"/>
      <c r="HJ102" s="212"/>
      <c r="HK102" s="212"/>
      <c r="HL102" s="227"/>
      <c r="HV102" s="228"/>
    </row>
    <row r="103" spans="1:230" s="128" customFormat="1" ht="36" x14ac:dyDescent="0.2">
      <c r="A103" s="132" t="s">
        <v>437</v>
      </c>
      <c r="B103" s="133" t="s">
        <v>468</v>
      </c>
      <c r="C103" s="48">
        <f t="shared" ref="C103:G103" si="216">C37+C68</f>
        <v>57576</v>
      </c>
      <c r="D103" s="48">
        <f t="shared" si="216"/>
        <v>57310</v>
      </c>
      <c r="E103" s="48">
        <f t="shared" si="216"/>
        <v>57434</v>
      </c>
      <c r="F103" s="48">
        <f t="shared" si="216"/>
        <v>57155</v>
      </c>
      <c r="G103" s="48">
        <f t="shared" si="216"/>
        <v>57388</v>
      </c>
      <c r="H103" s="48">
        <f t="shared" ref="H103:L103" si="217">H37+H68</f>
        <v>47535</v>
      </c>
      <c r="I103" s="48">
        <f t="shared" si="217"/>
        <v>2446</v>
      </c>
      <c r="J103" s="48">
        <f t="shared" si="217"/>
        <v>305</v>
      </c>
      <c r="K103" s="48">
        <f t="shared" si="217"/>
        <v>546</v>
      </c>
      <c r="L103" s="48">
        <f t="shared" si="217"/>
        <v>6556</v>
      </c>
      <c r="M103" s="48">
        <f t="shared" ref="M103:Q103" si="218">M37+M68</f>
        <v>23267</v>
      </c>
      <c r="N103" s="48">
        <f t="shared" si="218"/>
        <v>23212</v>
      </c>
      <c r="O103" s="48">
        <f t="shared" si="218"/>
        <v>23228</v>
      </c>
      <c r="P103" s="48">
        <f t="shared" si="218"/>
        <v>23190</v>
      </c>
      <c r="Q103" s="48">
        <f t="shared" si="218"/>
        <v>23295</v>
      </c>
      <c r="R103" s="51">
        <v>28.5</v>
      </c>
      <c r="S103" s="51">
        <v>29.2</v>
      </c>
      <c r="T103" s="51">
        <v>29.759293628029919</v>
      </c>
      <c r="U103" s="51">
        <v>30.568754089965005</v>
      </c>
      <c r="V103" s="51">
        <v>30.945174186179326</v>
      </c>
      <c r="W103" s="38">
        <v>30.9</v>
      </c>
      <c r="X103" s="38">
        <v>31.2</v>
      </c>
      <c r="Y103" s="38">
        <v>31.74455879871773</v>
      </c>
      <c r="Z103" s="38">
        <v>32.04825447406607</v>
      </c>
      <c r="AA103" s="38">
        <v>32.926898914905763</v>
      </c>
      <c r="AB103" s="51">
        <v>59.3</v>
      </c>
      <c r="AC103" s="51">
        <v>60.4</v>
      </c>
      <c r="AD103" s="51">
        <v>61.503852426747649</v>
      </c>
      <c r="AE103" s="51">
        <v>62.617008564031075</v>
      </c>
      <c r="AF103" s="51">
        <v>63.872073101085093</v>
      </c>
      <c r="AG103" s="39">
        <v>4.9212135465663218</v>
      </c>
      <c r="AH103" s="39">
        <v>4.4542248025720257</v>
      </c>
      <c r="AI103" s="39">
        <v>4.0421309723706305</v>
      </c>
      <c r="AJ103" s="39">
        <v>4.2188509708588482</v>
      </c>
      <c r="AK103" s="39">
        <v>3.7869786430247085</v>
      </c>
      <c r="AL103" s="48">
        <f>AL37+AL68</f>
        <v>3029.5</v>
      </c>
      <c r="AM103" s="48">
        <f>AM37+AM68</f>
        <v>2710.25</v>
      </c>
      <c r="AN103" s="48">
        <f>AN37+AN68</f>
        <v>2614.75</v>
      </c>
      <c r="AO103" s="48">
        <f>AO37+AO68</f>
        <v>2521.75</v>
      </c>
      <c r="AP103" s="48">
        <f>AP37+AP68</f>
        <v>2473.5</v>
      </c>
      <c r="AQ103" s="191">
        <v>50070.999878613424</v>
      </c>
      <c r="AR103" s="191">
        <v>49410.322019449901</v>
      </c>
      <c r="AS103" s="191">
        <v>52403.84674329502</v>
      </c>
      <c r="AT103" s="191">
        <v>52410.465576065093</v>
      </c>
      <c r="AU103" s="191">
        <v>52270.166759601314</v>
      </c>
      <c r="AV103" s="163" t="s">
        <v>144</v>
      </c>
      <c r="AW103" s="163" t="s">
        <v>144</v>
      </c>
      <c r="AX103" s="163" t="s">
        <v>144</v>
      </c>
      <c r="AY103" s="163" t="s">
        <v>144</v>
      </c>
      <c r="AZ103" s="197" t="s">
        <v>144</v>
      </c>
      <c r="BA103" s="42">
        <v>11.901596923131459</v>
      </c>
      <c r="BB103" s="42">
        <v>11.469865793314584</v>
      </c>
      <c r="BC103" s="42">
        <v>10.564355732348345</v>
      </c>
      <c r="BD103" s="42">
        <v>10.894934826349401</v>
      </c>
      <c r="BE103" s="42">
        <v>10.314002927441276</v>
      </c>
      <c r="BF103" s="42">
        <v>18.029654539896057</v>
      </c>
      <c r="BG103" s="42">
        <v>18.321721154582342</v>
      </c>
      <c r="BH103" s="42">
        <v>16.415765186474015</v>
      </c>
      <c r="BI103" s="42">
        <v>15.832155345584406</v>
      </c>
      <c r="BJ103" s="42">
        <v>13.962592431491952</v>
      </c>
      <c r="BK103" s="157">
        <f>BK37+BK68</f>
        <v>7349</v>
      </c>
      <c r="BL103" s="157">
        <f>BL37+BL68</f>
        <v>7525</v>
      </c>
      <c r="BM103" s="159">
        <f>BM37+BM68</f>
        <v>7542</v>
      </c>
      <c r="BN103" s="159">
        <f>BN37+BN68</f>
        <v>8714</v>
      </c>
      <c r="BO103" s="39">
        <v>49.802694244114846</v>
      </c>
      <c r="BP103" s="39">
        <v>50.697674418604649</v>
      </c>
      <c r="BQ103" s="39">
        <v>37.059056678557276</v>
      </c>
      <c r="BR103" s="39">
        <v>50.562313518476017</v>
      </c>
      <c r="BS103" s="51">
        <v>15.512314600625935</v>
      </c>
      <c r="BT103" s="51">
        <v>15.986710963455149</v>
      </c>
      <c r="BU103" s="51">
        <v>1.0437310080591888</v>
      </c>
      <c r="BV103" s="51">
        <v>13.862749598347488</v>
      </c>
      <c r="BW103" s="39">
        <v>12.668390257177848</v>
      </c>
      <c r="BX103" s="39">
        <v>12.850498338870432</v>
      </c>
      <c r="BY103" s="39">
        <v>14.427269124058661</v>
      </c>
      <c r="BZ103" s="39">
        <v>14.207023181087905</v>
      </c>
      <c r="CA103" s="40">
        <v>74.437299035369776</v>
      </c>
      <c r="CB103" s="40">
        <v>75.210792580101185</v>
      </c>
      <c r="CC103" s="40">
        <v>75.347222222222214</v>
      </c>
      <c r="CD103" s="40">
        <v>76.046901172529317</v>
      </c>
      <c r="CE103" s="40">
        <v>4.823151125401929</v>
      </c>
      <c r="CF103" s="40">
        <v>7.550335570469799</v>
      </c>
      <c r="CG103" s="40">
        <v>6.5972222222222223</v>
      </c>
      <c r="CH103" s="40">
        <v>7.7051926298157447</v>
      </c>
      <c r="CI103" s="48">
        <v>3611</v>
      </c>
      <c r="CJ103" s="48">
        <v>3973</v>
      </c>
      <c r="CK103" s="48">
        <v>3768</v>
      </c>
      <c r="CL103" s="48">
        <v>3853</v>
      </c>
      <c r="CM103" s="39">
        <v>12.448418868093645</v>
      </c>
      <c r="CN103" s="39">
        <v>13.776531004996723</v>
      </c>
      <c r="CO103" s="39">
        <v>13.139403914621772</v>
      </c>
      <c r="CP103" s="39">
        <v>13.431498659638923</v>
      </c>
      <c r="CQ103" s="127">
        <f>CQ37+CQ68</f>
        <v>125</v>
      </c>
      <c r="CR103" s="127">
        <f t="shared" ref="CR103:CT103" si="219">CR37+CR68</f>
        <v>173</v>
      </c>
      <c r="CS103" s="127">
        <f t="shared" si="219"/>
        <v>161</v>
      </c>
      <c r="CT103" s="127">
        <f t="shared" si="219"/>
        <v>172</v>
      </c>
      <c r="CU103" s="39">
        <v>3.5</v>
      </c>
      <c r="CV103" s="39">
        <v>4.5</v>
      </c>
      <c r="CW103" s="39">
        <v>4.4000000000000004</v>
      </c>
      <c r="CX103" s="39">
        <v>4.5999999999999996</v>
      </c>
      <c r="CY103" s="48">
        <f>CY37+CY68</f>
        <v>215</v>
      </c>
      <c r="CZ103" s="48">
        <f t="shared" ref="CZ103:DB103" si="220">CZ37+CZ68</f>
        <v>260</v>
      </c>
      <c r="DA103" s="48">
        <f t="shared" si="220"/>
        <v>236</v>
      </c>
      <c r="DB103" s="48">
        <f t="shared" si="220"/>
        <v>243</v>
      </c>
      <c r="DC103" s="39">
        <v>6.5</v>
      </c>
      <c r="DD103" s="39">
        <v>7.1</v>
      </c>
      <c r="DE103" s="39">
        <v>6.6</v>
      </c>
      <c r="DF103" s="39">
        <v>6.6</v>
      </c>
      <c r="DG103" s="39">
        <v>82.7</v>
      </c>
      <c r="DH103" s="39">
        <v>85.2</v>
      </c>
      <c r="DI103" s="39">
        <v>84.7</v>
      </c>
      <c r="DJ103" s="39">
        <v>79.2</v>
      </c>
      <c r="DK103" s="39">
        <v>11.6</v>
      </c>
      <c r="DL103" s="39">
        <v>10.5</v>
      </c>
      <c r="DM103" s="39">
        <v>12.6</v>
      </c>
      <c r="DN103" s="39">
        <v>10.7</v>
      </c>
      <c r="DO103" s="39">
        <v>29.5</v>
      </c>
      <c r="DP103" s="39">
        <v>35.6</v>
      </c>
      <c r="DQ103" s="39">
        <v>39.200000000000003</v>
      </c>
      <c r="DR103" s="39">
        <v>37.6</v>
      </c>
      <c r="DS103" s="39">
        <v>36.5</v>
      </c>
      <c r="DT103" s="39">
        <v>41.5</v>
      </c>
      <c r="DU103" s="39">
        <v>38.799999999999997</v>
      </c>
      <c r="DV103" s="39">
        <v>27.6</v>
      </c>
      <c r="DW103" s="48">
        <f>DW37+DW68</f>
        <v>490</v>
      </c>
      <c r="DX103" s="48">
        <f t="shared" ref="DX103:EA103" si="221">DX37+DX68</f>
        <v>128</v>
      </c>
      <c r="DY103" s="48">
        <f t="shared" si="221"/>
        <v>2</v>
      </c>
      <c r="DZ103" s="48">
        <f t="shared" si="221"/>
        <v>14</v>
      </c>
      <c r="EA103" s="48">
        <f t="shared" si="221"/>
        <v>147</v>
      </c>
      <c r="EB103" s="48">
        <f t="shared" ref="EB103:EE103" si="222">EB37+EB68</f>
        <v>11</v>
      </c>
      <c r="EC103" s="48">
        <f t="shared" si="222"/>
        <v>13</v>
      </c>
      <c r="ED103" s="48">
        <f t="shared" si="222"/>
        <v>18</v>
      </c>
      <c r="EE103" s="48">
        <f t="shared" si="222"/>
        <v>14</v>
      </c>
      <c r="EF103" s="48">
        <f>EF37+EF68</f>
        <v>2911</v>
      </c>
      <c r="EG103" s="48">
        <f t="shared" ref="EG103:EI103" si="223">EG37+EG68</f>
        <v>2792</v>
      </c>
      <c r="EH103" s="48">
        <f t="shared" si="223"/>
        <v>2902</v>
      </c>
      <c r="EI103" s="48">
        <f t="shared" si="223"/>
        <v>2804</v>
      </c>
      <c r="EJ103" s="48">
        <f t="shared" ref="EJ103:EN103" si="224">EJ37+EJ68</f>
        <v>526</v>
      </c>
      <c r="EK103" s="48">
        <f t="shared" si="224"/>
        <v>3</v>
      </c>
      <c r="EL103" s="48">
        <f t="shared" si="224"/>
        <v>3</v>
      </c>
      <c r="EM103" s="48">
        <f t="shared" si="224"/>
        <v>0</v>
      </c>
      <c r="EN103" s="48">
        <f t="shared" si="224"/>
        <v>8</v>
      </c>
      <c r="EO103" s="39">
        <v>997.65238103398053</v>
      </c>
      <c r="EP103" s="39">
        <v>963.37318634301187</v>
      </c>
      <c r="EQ103" s="39">
        <v>1001.2247925615414</v>
      </c>
      <c r="ER103" s="39">
        <v>976.425114043946</v>
      </c>
      <c r="ES103" s="39">
        <v>748.98699999999997</v>
      </c>
      <c r="ET103" s="39">
        <v>673.21400000000006</v>
      </c>
      <c r="EU103" s="39">
        <v>677.91200000000003</v>
      </c>
      <c r="EV103" s="39">
        <v>635.03099999999995</v>
      </c>
      <c r="EW103" s="39">
        <v>922.13099999999997</v>
      </c>
      <c r="EX103" s="39">
        <v>788.81100000000004</v>
      </c>
      <c r="EY103" s="39">
        <v>812.47500000000002</v>
      </c>
      <c r="EZ103" s="39">
        <v>751.91700000000003</v>
      </c>
      <c r="FA103" s="39">
        <v>613.45799999999997</v>
      </c>
      <c r="FB103" s="39">
        <v>573.06600000000003</v>
      </c>
      <c r="FC103" s="39">
        <v>570.16099999999994</v>
      </c>
      <c r="FD103" s="39">
        <v>531.39</v>
      </c>
      <c r="FE103" s="48">
        <f t="shared" ref="FE103:FH103" si="225">FE37+FE68</f>
        <v>658</v>
      </c>
      <c r="FF103" s="48">
        <f t="shared" si="225"/>
        <v>616</v>
      </c>
      <c r="FG103" s="48">
        <f t="shared" si="225"/>
        <v>658</v>
      </c>
      <c r="FH103" s="48">
        <f t="shared" si="225"/>
        <v>606</v>
      </c>
      <c r="FI103" s="39">
        <v>179.184</v>
      </c>
      <c r="FJ103" s="39">
        <v>158.923</v>
      </c>
      <c r="FK103" s="39">
        <v>163.929</v>
      </c>
      <c r="FL103" s="39">
        <v>147.55699999999999</v>
      </c>
      <c r="FM103" s="48">
        <f t="shared" ref="FM103:FP103" si="226">FM37+FM68</f>
        <v>764</v>
      </c>
      <c r="FN103" s="48">
        <f t="shared" si="226"/>
        <v>618</v>
      </c>
      <c r="FO103" s="48">
        <f t="shared" si="226"/>
        <v>602</v>
      </c>
      <c r="FP103" s="48">
        <f t="shared" si="226"/>
        <v>556</v>
      </c>
      <c r="FQ103" s="39">
        <v>188.79599999999999</v>
      </c>
      <c r="FR103" s="39">
        <v>143.19</v>
      </c>
      <c r="FS103" s="39">
        <v>132.77600000000001</v>
      </c>
      <c r="FT103" s="39">
        <v>118.485</v>
      </c>
      <c r="FU103" s="48">
        <f t="shared" ref="FU103:FX103" si="227">FU37+FU68</f>
        <v>247</v>
      </c>
      <c r="FV103" s="48">
        <f t="shared" si="227"/>
        <v>224</v>
      </c>
      <c r="FW103" s="48">
        <f t="shared" si="227"/>
        <v>178</v>
      </c>
      <c r="FX103" s="48">
        <f t="shared" si="227"/>
        <v>153</v>
      </c>
      <c r="FY103" s="39">
        <v>59.447000000000003</v>
      </c>
      <c r="FZ103" s="39">
        <v>49.701999999999998</v>
      </c>
      <c r="GA103" s="39">
        <v>36.999000000000002</v>
      </c>
      <c r="GB103" s="39">
        <v>31.672000000000001</v>
      </c>
      <c r="GC103" s="48">
        <f t="shared" ref="GC103:GF103" si="228">GC37+GC68</f>
        <v>131</v>
      </c>
      <c r="GD103" s="48">
        <f t="shared" si="228"/>
        <v>164</v>
      </c>
      <c r="GE103" s="48">
        <f t="shared" si="228"/>
        <v>144</v>
      </c>
      <c r="GF103" s="48">
        <f t="shared" si="228"/>
        <v>168</v>
      </c>
      <c r="GG103" s="182">
        <v>40.420999999999999</v>
      </c>
      <c r="GH103" s="182">
        <v>48.328000000000003</v>
      </c>
      <c r="GI103" s="182">
        <v>40.110999999999997</v>
      </c>
      <c r="GJ103" s="182">
        <v>46.494</v>
      </c>
      <c r="GK103" s="182"/>
      <c r="GL103" s="212"/>
      <c r="GM103" s="212"/>
      <c r="GN103" s="212"/>
      <c r="GP103" s="212"/>
      <c r="GQ103" s="212"/>
      <c r="GR103" s="212"/>
      <c r="GS103" s="212"/>
      <c r="GU103" s="212"/>
      <c r="GV103" s="212"/>
      <c r="GW103" s="212"/>
      <c r="GX103" s="212"/>
      <c r="HE103" s="150"/>
      <c r="HF103" s="150"/>
      <c r="HG103" s="150"/>
      <c r="HH103" s="150"/>
      <c r="HI103" s="150"/>
      <c r="HJ103" s="212"/>
      <c r="HK103" s="212"/>
      <c r="HL103" s="227"/>
      <c r="HV103" s="228"/>
    </row>
    <row r="104" spans="1:230" s="128" customFormat="1" ht="84" x14ac:dyDescent="0.2">
      <c r="A104" s="132" t="s">
        <v>438</v>
      </c>
      <c r="B104" s="133" t="s">
        <v>475</v>
      </c>
      <c r="C104" s="48">
        <f t="shared" ref="C104:G104" si="229">C44+C45+C54+C62+C67+C70</f>
        <v>74384</v>
      </c>
      <c r="D104" s="48">
        <f t="shared" si="229"/>
        <v>74272</v>
      </c>
      <c r="E104" s="48">
        <f t="shared" si="229"/>
        <v>74199</v>
      </c>
      <c r="F104" s="48">
        <f t="shared" si="229"/>
        <v>73840</v>
      </c>
      <c r="G104" s="48">
        <f t="shared" si="229"/>
        <v>73704</v>
      </c>
      <c r="H104" s="48">
        <f t="shared" ref="H104:L104" si="230">H44+H45+H54+H62+H67+H70</f>
        <v>65755</v>
      </c>
      <c r="I104" s="48">
        <f t="shared" si="230"/>
        <v>1532</v>
      </c>
      <c r="J104" s="48">
        <f t="shared" si="230"/>
        <v>1005</v>
      </c>
      <c r="K104" s="48">
        <f t="shared" si="230"/>
        <v>1843</v>
      </c>
      <c r="L104" s="48">
        <f t="shared" si="230"/>
        <v>3569</v>
      </c>
      <c r="M104" s="48">
        <f t="shared" ref="M104:Q104" si="231">M44+M45+M54+M62+M67+M70</f>
        <v>30878</v>
      </c>
      <c r="N104" s="48">
        <f t="shared" si="231"/>
        <v>30957</v>
      </c>
      <c r="O104" s="48">
        <f t="shared" si="231"/>
        <v>30934</v>
      </c>
      <c r="P104" s="48">
        <f t="shared" si="231"/>
        <v>30777</v>
      </c>
      <c r="Q104" s="48">
        <f t="shared" si="231"/>
        <v>30842</v>
      </c>
      <c r="R104" s="51">
        <v>31.3</v>
      </c>
      <c r="S104" s="51">
        <v>31.5</v>
      </c>
      <c r="T104" s="51">
        <v>32.166301969365421</v>
      </c>
      <c r="U104" s="51">
        <v>32.701111837802486</v>
      </c>
      <c r="V104" s="51">
        <v>32.598111370275596</v>
      </c>
      <c r="W104" s="38">
        <v>33</v>
      </c>
      <c r="X104" s="38">
        <v>33.200000000000003</v>
      </c>
      <c r="Y104" s="38">
        <v>33.508239181887198</v>
      </c>
      <c r="Z104" s="38">
        <v>33.826481134841337</v>
      </c>
      <c r="AA104" s="38">
        <v>34.307842115989942</v>
      </c>
      <c r="AB104" s="51">
        <v>64.3</v>
      </c>
      <c r="AC104" s="51">
        <v>64.7</v>
      </c>
      <c r="AD104" s="51">
        <v>65.674541151252612</v>
      </c>
      <c r="AE104" s="51">
        <v>66.527592972643816</v>
      </c>
      <c r="AF104" s="51">
        <v>66.905953486265545</v>
      </c>
      <c r="AG104" s="39">
        <v>4.3095564700502971</v>
      </c>
      <c r="AH104" s="39">
        <v>3.7511305755224451</v>
      </c>
      <c r="AI104" s="39">
        <v>3.3741975852239805</v>
      </c>
      <c r="AJ104" s="39">
        <v>3.683033086070882</v>
      </c>
      <c r="AK104" s="39">
        <v>3.4545454545454546</v>
      </c>
      <c r="AL104" s="48">
        <f>AL44+AL45+AL54+AL62+AL67+AL70</f>
        <v>2770.6666666666665</v>
      </c>
      <c r="AM104" s="48">
        <f>AM44+AM45+AM54+AM62+AM67+AM70</f>
        <v>2605</v>
      </c>
      <c r="AN104" s="48">
        <f>AN44+AN45+AN54+AN62+AN67+AN70</f>
        <v>2512.9166666666665</v>
      </c>
      <c r="AO104" s="48">
        <f>AO44+AO45+AO54+AO62+AO67+AO70</f>
        <v>2480.833333333333</v>
      </c>
      <c r="AP104" s="48">
        <f>AP44+AP45+AP54+AP62+AP67+AP70</f>
        <v>2394.9166666666665</v>
      </c>
      <c r="AQ104" s="191">
        <v>51669.914827979352</v>
      </c>
      <c r="AR104" s="191">
        <v>50687.242033843548</v>
      </c>
      <c r="AS104" s="191">
        <v>51886.601261387521</v>
      </c>
      <c r="AT104" s="191">
        <v>49539.554577464784</v>
      </c>
      <c r="AU104" s="191">
        <v>48603.523282318471</v>
      </c>
      <c r="AV104" s="163" t="s">
        <v>144</v>
      </c>
      <c r="AW104" s="163" t="s">
        <v>144</v>
      </c>
      <c r="AX104" s="163" t="s">
        <v>144</v>
      </c>
      <c r="AY104" s="163" t="s">
        <v>144</v>
      </c>
      <c r="AZ104" s="197" t="s">
        <v>144</v>
      </c>
      <c r="BA104" s="42">
        <v>11.430543095714581</v>
      </c>
      <c r="BB104" s="42">
        <v>11.208304498269896</v>
      </c>
      <c r="BC104" s="42">
        <v>10.887331357176496</v>
      </c>
      <c r="BD104" s="42">
        <v>10.639219934994584</v>
      </c>
      <c r="BE104" s="42">
        <v>10.154130033648107</v>
      </c>
      <c r="BF104" s="42">
        <v>14.579311910979902</v>
      </c>
      <c r="BG104" s="42">
        <v>15.666402445929114</v>
      </c>
      <c r="BH104" s="42">
        <v>15.116540930075443</v>
      </c>
      <c r="BI104" s="42">
        <v>14.054443643621445</v>
      </c>
      <c r="BJ104" s="42">
        <v>12.568878113290721</v>
      </c>
      <c r="BK104" s="157">
        <f>BK44+BK45+BK54+BK62+BK67+BK70</f>
        <v>11783</v>
      </c>
      <c r="BL104" s="157">
        <f>BL44+BL45+BL54+BL62+BL67+BL70</f>
        <v>11918</v>
      </c>
      <c r="BM104" s="159">
        <f>BM44+BM45+BM54+BM62+BM67+BM70</f>
        <v>11764</v>
      </c>
      <c r="BN104" s="159">
        <f>BN44+BN45+BN54+BN62+BN67+BN70</f>
        <v>12555</v>
      </c>
      <c r="BO104" s="39">
        <v>39.726724942714078</v>
      </c>
      <c r="BP104" s="39">
        <v>40.577278066789731</v>
      </c>
      <c r="BQ104" s="39">
        <v>46.177318189523646</v>
      </c>
      <c r="BR104" s="39">
        <v>40.54958183990442</v>
      </c>
      <c r="BS104" s="51">
        <v>4.6168208435882203</v>
      </c>
      <c r="BT104" s="51">
        <v>5.1938244671924823</v>
      </c>
      <c r="BU104" s="51">
        <v>0.32208848957450414</v>
      </c>
      <c r="BV104" s="51">
        <v>5.8144165671047388</v>
      </c>
      <c r="BW104" s="39">
        <v>16.057031316303149</v>
      </c>
      <c r="BX104" s="39">
        <v>16.445712367846955</v>
      </c>
      <c r="BY104" s="39">
        <v>14.477030005085608</v>
      </c>
      <c r="BZ104" s="39">
        <v>15.730784547988849</v>
      </c>
      <c r="CA104" s="40">
        <v>89.776357827476033</v>
      </c>
      <c r="CB104" s="40">
        <v>88.817891373801913</v>
      </c>
      <c r="CC104" s="40">
        <v>89.624724061810156</v>
      </c>
      <c r="CD104" s="40">
        <v>86.188436830835116</v>
      </c>
      <c r="CE104" s="40">
        <v>4.046858359957402</v>
      </c>
      <c r="CF104" s="40">
        <v>3.459119496855346</v>
      </c>
      <c r="CG104" s="40">
        <v>3.3112582781456954</v>
      </c>
      <c r="CH104" s="40">
        <v>6.1027837259100641</v>
      </c>
      <c r="CI104" s="48">
        <v>4576</v>
      </c>
      <c r="CJ104" s="48">
        <v>4854</v>
      </c>
      <c r="CK104" s="48">
        <v>4750</v>
      </c>
      <c r="CL104" s="48">
        <v>4746</v>
      </c>
      <c r="CM104" s="39">
        <v>11.932452306697401</v>
      </c>
      <c r="CN104" s="39">
        <v>13.027654914759308</v>
      </c>
      <c r="CO104" s="39">
        <v>12.738751012395475</v>
      </c>
      <c r="CP104" s="39">
        <v>12.813209538902642</v>
      </c>
      <c r="CQ104" s="127">
        <f>CQ44+CQ45+CQ54+CQ62+CQ67+CQ70</f>
        <v>191</v>
      </c>
      <c r="CR104" s="127">
        <f t="shared" ref="CR104:CT104" si="232">CR44+CR45+CR54+CR62+CR67+CR70</f>
        <v>209</v>
      </c>
      <c r="CS104" s="127">
        <f t="shared" si="232"/>
        <v>208</v>
      </c>
      <c r="CT104" s="127">
        <f t="shared" si="232"/>
        <v>202</v>
      </c>
      <c r="CU104" s="39">
        <v>4.3</v>
      </c>
      <c r="CV104" s="39">
        <v>4.4000000000000004</v>
      </c>
      <c r="CW104" s="39">
        <v>4.5</v>
      </c>
      <c r="CX104" s="39">
        <v>4.4000000000000004</v>
      </c>
      <c r="CY104" s="48">
        <f>CY44+CY45+CY54+CY62+CY67+CY70</f>
        <v>368</v>
      </c>
      <c r="CZ104" s="48">
        <f t="shared" ref="CZ104:DB104" si="233">CZ44+CZ45+CZ54+CZ62+CZ67+CZ70</f>
        <v>364</v>
      </c>
      <c r="DA104" s="48">
        <f t="shared" si="233"/>
        <v>364</v>
      </c>
      <c r="DB104" s="48">
        <f t="shared" si="233"/>
        <v>276</v>
      </c>
      <c r="DC104" s="39">
        <v>9.1999999999999993</v>
      </c>
      <c r="DD104" s="39">
        <v>8.6999999999999993</v>
      </c>
      <c r="DE104" s="39">
        <v>8.3000000000000007</v>
      </c>
      <c r="DF104" s="39">
        <v>6</v>
      </c>
      <c r="DG104" s="39">
        <v>82.6</v>
      </c>
      <c r="DH104" s="39">
        <v>84.1</v>
      </c>
      <c r="DI104" s="39">
        <v>84.6</v>
      </c>
      <c r="DJ104" s="39">
        <v>84.4</v>
      </c>
      <c r="DK104" s="39">
        <v>13.2</v>
      </c>
      <c r="DL104" s="39">
        <v>13.5</v>
      </c>
      <c r="DM104" s="39">
        <v>14.6</v>
      </c>
      <c r="DN104" s="39">
        <v>10.5</v>
      </c>
      <c r="DO104" s="39">
        <v>23.1</v>
      </c>
      <c r="DP104" s="39">
        <v>26.3</v>
      </c>
      <c r="DQ104" s="39">
        <v>32.799999999999997</v>
      </c>
      <c r="DR104" s="39">
        <v>31.3</v>
      </c>
      <c r="DS104" s="39">
        <v>25.9</v>
      </c>
      <c r="DT104" s="39">
        <v>25.4</v>
      </c>
      <c r="DU104" s="39">
        <v>23.3</v>
      </c>
      <c r="DV104" s="39">
        <v>13.9</v>
      </c>
      <c r="DW104" s="48">
        <f>DW44+DW45+DW54+DW62+DW67+DW70</f>
        <v>762</v>
      </c>
      <c r="DX104" s="48">
        <f t="shared" ref="DX104:EA104" si="234">DX44+DX45+DX54+DX62+DX67+DX70</f>
        <v>37</v>
      </c>
      <c r="DY104" s="48">
        <f t="shared" si="234"/>
        <v>17</v>
      </c>
      <c r="DZ104" s="48">
        <f t="shared" si="234"/>
        <v>46</v>
      </c>
      <c r="EA104" s="48">
        <f t="shared" si="234"/>
        <v>75</v>
      </c>
      <c r="EB104" s="48">
        <f t="shared" ref="EB104:EE104" si="235">EB44+EB45+EB54+EB62+EB67+EB70</f>
        <v>28</v>
      </c>
      <c r="EC104" s="48">
        <f t="shared" si="235"/>
        <v>20</v>
      </c>
      <c r="ED104" s="48">
        <f t="shared" si="235"/>
        <v>20</v>
      </c>
      <c r="EE104" s="48">
        <f t="shared" si="235"/>
        <v>20</v>
      </c>
      <c r="EF104" s="48">
        <f>EF44+EF45+EF54+EF62+EF67+EF70</f>
        <v>4526</v>
      </c>
      <c r="EG104" s="48">
        <f t="shared" ref="EG104:EI104" si="236">EG44+EG45+EG54+EG62+EG67+EG70</f>
        <v>4377</v>
      </c>
      <c r="EH104" s="48">
        <f t="shared" si="236"/>
        <v>4145</v>
      </c>
      <c r="EI104" s="48">
        <f t="shared" si="236"/>
        <v>4129</v>
      </c>
      <c r="EJ104" s="48">
        <f t="shared" ref="EJ104:EN104" si="237">EJ44+EJ45+EJ54+EJ62+EJ67+EJ70</f>
        <v>831</v>
      </c>
      <c r="EK104" s="48">
        <f t="shared" si="237"/>
        <v>4</v>
      </c>
      <c r="EL104" s="48">
        <f t="shared" si="237"/>
        <v>6</v>
      </c>
      <c r="EM104" s="48">
        <f t="shared" si="237"/>
        <v>6</v>
      </c>
      <c r="EN104" s="48">
        <f t="shared" si="237"/>
        <v>4</v>
      </c>
      <c r="EO104" s="39">
        <v>1168.7540348612008</v>
      </c>
      <c r="EP104" s="39">
        <v>1177.6100730457242</v>
      </c>
      <c r="EQ104" s="39">
        <v>1093.3790556581378</v>
      </c>
      <c r="ER104" s="39">
        <v>1112.9530047574765</v>
      </c>
      <c r="ES104" s="39">
        <v>746.63300000000004</v>
      </c>
      <c r="ET104" s="39">
        <v>711.72299999999996</v>
      </c>
      <c r="EU104" s="39">
        <v>673.69100000000003</v>
      </c>
      <c r="EV104" s="39">
        <v>669.81899999999996</v>
      </c>
      <c r="EW104" s="39">
        <v>968.27</v>
      </c>
      <c r="EX104" s="39">
        <v>912.32</v>
      </c>
      <c r="EY104" s="39">
        <v>849.68600000000004</v>
      </c>
      <c r="EZ104" s="39">
        <v>832.34699999999998</v>
      </c>
      <c r="FA104" s="39">
        <v>578.39099999999996</v>
      </c>
      <c r="FB104" s="39">
        <v>565.36699999999996</v>
      </c>
      <c r="FC104" s="39">
        <v>538.31200000000001</v>
      </c>
      <c r="FD104" s="39">
        <v>537.38</v>
      </c>
      <c r="FE104" s="48">
        <f t="shared" ref="FE104:FH104" si="238">FE44+FE45+FE54+FE62+FE67+FE70</f>
        <v>999</v>
      </c>
      <c r="FF104" s="48">
        <f t="shared" si="238"/>
        <v>1012</v>
      </c>
      <c r="FG104" s="48">
        <f t="shared" si="238"/>
        <v>934</v>
      </c>
      <c r="FH104" s="48">
        <f t="shared" si="238"/>
        <v>892</v>
      </c>
      <c r="FI104" s="39">
        <v>178.26400000000001</v>
      </c>
      <c r="FJ104" s="39">
        <v>182.24100000000001</v>
      </c>
      <c r="FK104" s="39">
        <v>163.51499999999999</v>
      </c>
      <c r="FL104" s="39">
        <v>158.53200000000001</v>
      </c>
      <c r="FM104" s="48">
        <f t="shared" ref="FM104:FP104" si="239">FM44+FM45+FM54+FM62+FM67+FM70</f>
        <v>1298</v>
      </c>
      <c r="FN104" s="48">
        <f t="shared" si="239"/>
        <v>1057</v>
      </c>
      <c r="FO104" s="48">
        <f t="shared" si="239"/>
        <v>941</v>
      </c>
      <c r="FP104" s="48">
        <f t="shared" si="239"/>
        <v>859</v>
      </c>
      <c r="FQ104" s="39">
        <v>204.55099999999999</v>
      </c>
      <c r="FR104" s="39">
        <v>156.708</v>
      </c>
      <c r="FS104" s="39">
        <v>142.43199999999999</v>
      </c>
      <c r="FT104" s="39">
        <v>127.73399999999999</v>
      </c>
      <c r="FU104" s="48">
        <f t="shared" ref="FU104:FX104" si="240">FU44+FU45+FU54+FU62+FU67+FU70</f>
        <v>444</v>
      </c>
      <c r="FV104" s="48">
        <f t="shared" si="240"/>
        <v>338</v>
      </c>
      <c r="FW104" s="48">
        <f t="shared" si="240"/>
        <v>279</v>
      </c>
      <c r="FX104" s="48">
        <f t="shared" si="240"/>
        <v>244</v>
      </c>
      <c r="FY104" s="39">
        <v>64.358000000000004</v>
      </c>
      <c r="FZ104" s="39">
        <v>48.186</v>
      </c>
      <c r="GA104" s="39">
        <v>42.16</v>
      </c>
      <c r="GB104" s="39">
        <v>35.954000000000001</v>
      </c>
      <c r="GC104" s="48">
        <f t="shared" ref="GC104:GF104" si="241">GC44+GC45+GC54+GC62+GC67+GC70</f>
        <v>185</v>
      </c>
      <c r="GD104" s="48">
        <f t="shared" si="241"/>
        <v>216</v>
      </c>
      <c r="GE104" s="48">
        <f t="shared" si="241"/>
        <v>207</v>
      </c>
      <c r="GF104" s="48">
        <f t="shared" si="241"/>
        <v>210</v>
      </c>
      <c r="GG104" s="182">
        <v>40.637999999999998</v>
      </c>
      <c r="GH104" s="182">
        <v>46.570999999999998</v>
      </c>
      <c r="GI104" s="182">
        <v>42.774000000000001</v>
      </c>
      <c r="GJ104" s="182">
        <v>45.344000000000001</v>
      </c>
      <c r="GK104" s="182"/>
      <c r="GL104" s="212"/>
      <c r="GM104" s="212"/>
      <c r="GN104" s="212"/>
      <c r="GP104" s="212"/>
      <c r="GQ104" s="212"/>
      <c r="GR104" s="212"/>
      <c r="GS104" s="212"/>
      <c r="GU104" s="212"/>
      <c r="GV104" s="212"/>
      <c r="GW104" s="212"/>
      <c r="GX104" s="212"/>
      <c r="HE104" s="150"/>
      <c r="HF104" s="150"/>
      <c r="HG104" s="150"/>
      <c r="HH104" s="150"/>
      <c r="HI104" s="150"/>
      <c r="HJ104" s="212"/>
      <c r="HK104" s="212"/>
      <c r="HL104" s="227"/>
      <c r="HV104" s="228"/>
    </row>
    <row r="105" spans="1:230" s="128" customFormat="1" ht="36" x14ac:dyDescent="0.2">
      <c r="A105" s="132" t="s">
        <v>439</v>
      </c>
      <c r="B105" s="133" t="s">
        <v>469</v>
      </c>
      <c r="C105" s="48">
        <f t="shared" ref="C105:G105" si="242">C43+C84</f>
        <v>46908</v>
      </c>
      <c r="D105" s="48">
        <f t="shared" si="242"/>
        <v>46795</v>
      </c>
      <c r="E105" s="48">
        <f t="shared" si="242"/>
        <v>46652</v>
      </c>
      <c r="F105" s="48">
        <f t="shared" si="242"/>
        <v>46502</v>
      </c>
      <c r="G105" s="48">
        <f t="shared" si="242"/>
        <v>46898</v>
      </c>
      <c r="H105" s="48">
        <f t="shared" ref="H105:L105" si="243">H43+H84</f>
        <v>42713</v>
      </c>
      <c r="I105" s="48">
        <f t="shared" si="243"/>
        <v>790</v>
      </c>
      <c r="J105" s="48">
        <f t="shared" si="243"/>
        <v>234</v>
      </c>
      <c r="K105" s="48">
        <f t="shared" si="243"/>
        <v>350</v>
      </c>
      <c r="L105" s="48">
        <f t="shared" si="243"/>
        <v>2811</v>
      </c>
      <c r="M105" s="48">
        <f t="shared" ref="M105:Q105" si="244">M43+M84</f>
        <v>18151</v>
      </c>
      <c r="N105" s="48">
        <f t="shared" si="244"/>
        <v>18147</v>
      </c>
      <c r="O105" s="48">
        <f t="shared" si="244"/>
        <v>18130</v>
      </c>
      <c r="P105" s="48">
        <f t="shared" si="244"/>
        <v>18155</v>
      </c>
      <c r="Q105" s="48">
        <f t="shared" si="244"/>
        <v>18249</v>
      </c>
      <c r="R105" s="51">
        <v>24.4</v>
      </c>
      <c r="S105" s="51">
        <v>25.1</v>
      </c>
      <c r="T105" s="51">
        <v>25.850157622912334</v>
      </c>
      <c r="U105" s="51">
        <v>26.643879657518021</v>
      </c>
      <c r="V105" s="51">
        <v>27.586206896551722</v>
      </c>
      <c r="W105" s="38">
        <v>31.1</v>
      </c>
      <c r="X105" s="38">
        <v>30.7</v>
      </c>
      <c r="Y105" s="38">
        <v>30.605674424844054</v>
      </c>
      <c r="Z105" s="38">
        <v>30.728620257876749</v>
      </c>
      <c r="AA105" s="38">
        <v>30.960108181203516</v>
      </c>
      <c r="AB105" s="51">
        <v>55.5</v>
      </c>
      <c r="AC105" s="51">
        <v>55.8</v>
      </c>
      <c r="AD105" s="51">
        <v>56.455832047756395</v>
      </c>
      <c r="AE105" s="51">
        <v>57.372499915394769</v>
      </c>
      <c r="AF105" s="51">
        <v>58.546315077755239</v>
      </c>
      <c r="AG105" s="39">
        <v>6.1880286535270548</v>
      </c>
      <c r="AH105" s="39">
        <v>5.0511433197741002</v>
      </c>
      <c r="AI105" s="39">
        <v>4.4770283479960895</v>
      </c>
      <c r="AJ105" s="39">
        <v>4.6656547095949508</v>
      </c>
      <c r="AK105" s="39">
        <v>4.5225732292203418</v>
      </c>
      <c r="AL105" s="48">
        <f>AL43+AL84</f>
        <v>1787.3333333333335</v>
      </c>
      <c r="AM105" s="48">
        <f>AM43+AM84</f>
        <v>1660.4166666666665</v>
      </c>
      <c r="AN105" s="48">
        <f>AN43+AN84</f>
        <v>775.25</v>
      </c>
      <c r="AO105" s="48">
        <f>AO43+AO84</f>
        <v>703.75</v>
      </c>
      <c r="AP105" s="48">
        <f>AP43+AP84</f>
        <v>669.16666666666663</v>
      </c>
      <c r="AQ105" s="191">
        <v>43255.861205623674</v>
      </c>
      <c r="AR105" s="191">
        <v>44553.216158934731</v>
      </c>
      <c r="AS105" s="191">
        <v>45966.523557290224</v>
      </c>
      <c r="AT105" s="191">
        <v>45262.964818717468</v>
      </c>
      <c r="AU105" s="191">
        <v>46301.111348031904</v>
      </c>
      <c r="AV105" s="163" t="s">
        <v>144</v>
      </c>
      <c r="AW105" s="163" t="s">
        <v>144</v>
      </c>
      <c r="AX105" s="163" t="s">
        <v>144</v>
      </c>
      <c r="AY105" s="163" t="s">
        <v>144</v>
      </c>
      <c r="AZ105" s="197" t="s">
        <v>144</v>
      </c>
      <c r="BA105" s="42">
        <v>9.4250436242351956</v>
      </c>
      <c r="BB105" s="42">
        <v>9.3521837249435809</v>
      </c>
      <c r="BC105" s="42">
        <v>9.0543929340227685</v>
      </c>
      <c r="BD105" s="42">
        <v>8.4942583114704746</v>
      </c>
      <c r="BE105" s="42">
        <v>8.4843703356219873</v>
      </c>
      <c r="BF105" s="42">
        <v>12.243434615039885</v>
      </c>
      <c r="BG105" s="42">
        <v>11.932742722834929</v>
      </c>
      <c r="BH105" s="42">
        <v>11.974139501001639</v>
      </c>
      <c r="BI105" s="42">
        <v>11.246502391912628</v>
      </c>
      <c r="BJ105" s="42">
        <v>9.9596593455849405</v>
      </c>
      <c r="BK105" s="157">
        <f>BK43+BK84</f>
        <v>8120</v>
      </c>
      <c r="BL105" s="157">
        <f>BL43+BL84</f>
        <v>7943</v>
      </c>
      <c r="BM105" s="159">
        <f>BM43+BM84</f>
        <v>7821</v>
      </c>
      <c r="BN105" s="159">
        <f>BN43+BN84</f>
        <v>6981</v>
      </c>
      <c r="BO105" s="39">
        <v>38.743842364532021</v>
      </c>
      <c r="BP105" s="39">
        <v>35.427420370137227</v>
      </c>
      <c r="BQ105" s="39">
        <v>50.808804030761074</v>
      </c>
      <c r="BR105" s="39">
        <v>34.952012605643887</v>
      </c>
      <c r="BS105" s="51">
        <v>3.6822660098522166</v>
      </c>
      <c r="BT105" s="51">
        <v>3.9657560115825254</v>
      </c>
      <c r="BU105" s="51">
        <v>14.982763192787059</v>
      </c>
      <c r="BV105" s="51">
        <v>4.3117031943847586</v>
      </c>
      <c r="BW105" s="39">
        <v>15.22167487684729</v>
      </c>
      <c r="BX105" s="39">
        <v>15.648999118720885</v>
      </c>
      <c r="BY105" s="39">
        <v>12.105542296473084</v>
      </c>
      <c r="BZ105" s="39">
        <v>16.430310843718665</v>
      </c>
      <c r="CA105" s="40">
        <v>89.500860585197941</v>
      </c>
      <c r="CB105" s="40">
        <v>89.708404802744425</v>
      </c>
      <c r="CC105" s="40">
        <v>86.378737541528238</v>
      </c>
      <c r="CD105" s="40">
        <v>84.502446982055474</v>
      </c>
      <c r="CE105" s="40">
        <v>2.9259896729776247</v>
      </c>
      <c r="CF105" s="40">
        <v>3.0612244897959182</v>
      </c>
      <c r="CG105" s="40">
        <v>4.9833887043189371</v>
      </c>
      <c r="CH105" s="40">
        <v>4.5676998368678632</v>
      </c>
      <c r="CI105" s="48">
        <v>2790</v>
      </c>
      <c r="CJ105" s="48">
        <v>3124</v>
      </c>
      <c r="CK105" s="48">
        <v>2770</v>
      </c>
      <c r="CL105" s="48">
        <v>2637</v>
      </c>
      <c r="CM105" s="39">
        <v>12.503921480751131</v>
      </c>
      <c r="CN105" s="39">
        <v>13.328782319310521</v>
      </c>
      <c r="CO105" s="39">
        <v>11.78738451980238</v>
      </c>
      <c r="CP105" s="39">
        <v>11.281042116746166</v>
      </c>
      <c r="CQ105" s="127">
        <f>CQ43+CQ84</f>
        <v>104</v>
      </c>
      <c r="CR105" s="127">
        <f t="shared" ref="CR105:CT105" si="245">CR43+CR84</f>
        <v>136</v>
      </c>
      <c r="CS105" s="127">
        <f t="shared" si="245"/>
        <v>117</v>
      </c>
      <c r="CT105" s="127">
        <f t="shared" si="245"/>
        <v>102</v>
      </c>
      <c r="CU105" s="39">
        <v>3.8</v>
      </c>
      <c r="CV105" s="39">
        <v>4.5</v>
      </c>
      <c r="CW105" s="39">
        <v>4.3</v>
      </c>
      <c r="CX105" s="39">
        <v>4</v>
      </c>
      <c r="CY105" s="48">
        <f>CY43+CY84</f>
        <v>173</v>
      </c>
      <c r="CZ105" s="48">
        <f t="shared" ref="CZ105:DB105" si="246">CZ43+CZ84</f>
        <v>234</v>
      </c>
      <c r="DA105" s="48">
        <f t="shared" si="246"/>
        <v>183</v>
      </c>
      <c r="DB105" s="48">
        <f t="shared" si="246"/>
        <v>168</v>
      </c>
      <c r="DC105" s="39">
        <v>6.8</v>
      </c>
      <c r="DD105" s="39">
        <v>8.3000000000000007</v>
      </c>
      <c r="DE105" s="39">
        <v>7</v>
      </c>
      <c r="DF105" s="39">
        <v>6.6</v>
      </c>
      <c r="DG105" s="39">
        <v>84.2</v>
      </c>
      <c r="DH105" s="39">
        <v>87.7</v>
      </c>
      <c r="DI105" s="39">
        <v>88.1</v>
      </c>
      <c r="DJ105" s="39">
        <v>87.2</v>
      </c>
      <c r="DK105" s="39">
        <v>14.8</v>
      </c>
      <c r="DL105" s="39">
        <v>12.3</v>
      </c>
      <c r="DM105" s="39">
        <v>12.7</v>
      </c>
      <c r="DN105" s="39">
        <v>14.4</v>
      </c>
      <c r="DO105" s="39">
        <v>27</v>
      </c>
      <c r="DP105" s="39">
        <v>30.8</v>
      </c>
      <c r="DQ105" s="39">
        <v>31.9</v>
      </c>
      <c r="DR105" s="39">
        <v>35.1</v>
      </c>
      <c r="DS105" s="39">
        <v>29.6</v>
      </c>
      <c r="DT105" s="39">
        <v>27.1</v>
      </c>
      <c r="DU105" s="39">
        <v>23.3</v>
      </c>
      <c r="DV105" s="39">
        <v>12.3</v>
      </c>
      <c r="DW105" s="48">
        <f>DW43+DW84</f>
        <v>470</v>
      </c>
      <c r="DX105" s="48">
        <f t="shared" ref="DX105:EA105" si="247">DX43+DX84</f>
        <v>14</v>
      </c>
      <c r="DY105" s="48">
        <f t="shared" si="247"/>
        <v>3</v>
      </c>
      <c r="DZ105" s="48">
        <f t="shared" si="247"/>
        <v>6</v>
      </c>
      <c r="EA105" s="48">
        <f t="shared" si="247"/>
        <v>58</v>
      </c>
      <c r="EB105" s="48">
        <f t="shared" ref="EB105:EE105" si="248">EB43+EB84</f>
        <v>8</v>
      </c>
      <c r="EC105" s="48">
        <f t="shared" si="248"/>
        <v>11</v>
      </c>
      <c r="ED105" s="48">
        <f t="shared" si="248"/>
        <v>11</v>
      </c>
      <c r="EE105" s="48">
        <f t="shared" si="248"/>
        <v>12</v>
      </c>
      <c r="EF105" s="48">
        <f>EF43+EF84</f>
        <v>1995</v>
      </c>
      <c r="EG105" s="48">
        <f t="shared" ref="EG105:EI105" si="249">EG43+EG84</f>
        <v>1825</v>
      </c>
      <c r="EH105" s="48">
        <f t="shared" si="249"/>
        <v>1816</v>
      </c>
      <c r="EI105" s="48">
        <f t="shared" si="249"/>
        <v>1986</v>
      </c>
      <c r="EJ105" s="48">
        <f t="shared" ref="EJ105:EN105" si="250">EJ43+EJ84</f>
        <v>391</v>
      </c>
      <c r="EK105" s="48">
        <f t="shared" si="250"/>
        <v>1</v>
      </c>
      <c r="EL105" s="48">
        <f t="shared" si="250"/>
        <v>0</v>
      </c>
      <c r="EM105" s="48">
        <f t="shared" si="250"/>
        <v>1</v>
      </c>
      <c r="EN105" s="48">
        <f t="shared" si="250"/>
        <v>5</v>
      </c>
      <c r="EO105" s="39">
        <v>887.61345435130806</v>
      </c>
      <c r="EP105" s="39">
        <v>779.58137548056391</v>
      </c>
      <c r="EQ105" s="39">
        <v>775.42219090928495</v>
      </c>
      <c r="ER105" s="39">
        <v>851.41044328217436</v>
      </c>
      <c r="ES105" s="39">
        <v>759.31299999999999</v>
      </c>
      <c r="ET105" s="39">
        <v>634.05399999999997</v>
      </c>
      <c r="EU105" s="39">
        <v>630.40200000000004</v>
      </c>
      <c r="EV105" s="39">
        <v>649.43299999999999</v>
      </c>
      <c r="EW105" s="39">
        <v>960.88199999999995</v>
      </c>
      <c r="EX105" s="39">
        <v>788.09799999999996</v>
      </c>
      <c r="EY105" s="39">
        <v>768.96199999999999</v>
      </c>
      <c r="EZ105" s="39">
        <v>772.84799999999996</v>
      </c>
      <c r="FA105" s="39">
        <v>613.51300000000003</v>
      </c>
      <c r="FB105" s="39">
        <v>514.23699999999997</v>
      </c>
      <c r="FC105" s="39">
        <v>520.93299999999999</v>
      </c>
      <c r="FD105" s="39">
        <v>547.15300000000002</v>
      </c>
      <c r="FE105" s="48">
        <f t="shared" ref="FE105:FH105" si="251">FE43+FE84</f>
        <v>483</v>
      </c>
      <c r="FF105" s="48">
        <f t="shared" si="251"/>
        <v>435</v>
      </c>
      <c r="FG105" s="48">
        <f t="shared" si="251"/>
        <v>477</v>
      </c>
      <c r="FH105" s="48">
        <f t="shared" si="251"/>
        <v>453</v>
      </c>
      <c r="FI105" s="39">
        <v>192.792</v>
      </c>
      <c r="FJ105" s="39">
        <v>161.42099999999999</v>
      </c>
      <c r="FK105" s="39">
        <v>168.69499999999999</v>
      </c>
      <c r="FL105" s="39">
        <v>150.511</v>
      </c>
      <c r="FM105" s="48">
        <f t="shared" ref="FM105:FP105" si="252">FM43+FM84</f>
        <v>531</v>
      </c>
      <c r="FN105" s="48">
        <f t="shared" si="252"/>
        <v>467</v>
      </c>
      <c r="FO105" s="48">
        <f t="shared" si="252"/>
        <v>425</v>
      </c>
      <c r="FP105" s="48">
        <f t="shared" si="252"/>
        <v>439</v>
      </c>
      <c r="FQ105" s="39">
        <v>196.88499999999999</v>
      </c>
      <c r="FR105" s="39">
        <v>155.44900000000001</v>
      </c>
      <c r="FS105" s="39">
        <v>144.798</v>
      </c>
      <c r="FT105" s="39">
        <v>139.25800000000001</v>
      </c>
      <c r="FU105" s="48">
        <f t="shared" ref="FU105:FX105" si="253">FU43+FU84</f>
        <v>151</v>
      </c>
      <c r="FV105" s="48">
        <f t="shared" si="253"/>
        <v>111</v>
      </c>
      <c r="FW105" s="48">
        <f t="shared" si="253"/>
        <v>102</v>
      </c>
      <c r="FX105" s="48">
        <f t="shared" si="253"/>
        <v>99</v>
      </c>
      <c r="FY105" s="39">
        <v>53.835000000000001</v>
      </c>
      <c r="FZ105" s="39">
        <v>34.978000000000002</v>
      </c>
      <c r="GA105" s="39">
        <v>33.381999999999998</v>
      </c>
      <c r="GB105" s="39">
        <v>31.113</v>
      </c>
      <c r="GC105" s="48">
        <f t="shared" ref="GC105:GF105" si="254">GC43+GC84</f>
        <v>100</v>
      </c>
      <c r="GD105" s="48">
        <f t="shared" si="254"/>
        <v>87</v>
      </c>
      <c r="GE105" s="48">
        <f t="shared" si="254"/>
        <v>72</v>
      </c>
      <c r="GF105" s="48">
        <f t="shared" si="254"/>
        <v>114</v>
      </c>
      <c r="GG105" s="182">
        <v>41.984999999999999</v>
      </c>
      <c r="GH105" s="182">
        <v>34.372</v>
      </c>
      <c r="GI105" s="182">
        <v>28.95</v>
      </c>
      <c r="GJ105" s="182">
        <v>41.542000000000002</v>
      </c>
      <c r="GK105" s="182"/>
      <c r="GL105" s="212"/>
      <c r="GM105" s="212"/>
      <c r="GN105" s="212"/>
      <c r="GP105" s="212"/>
      <c r="GQ105" s="212"/>
      <c r="GR105" s="212"/>
      <c r="GS105" s="212"/>
      <c r="GU105" s="212"/>
      <c r="GV105" s="212"/>
      <c r="GW105" s="212"/>
      <c r="GX105" s="212"/>
      <c r="HE105" s="150"/>
      <c r="HF105" s="150"/>
      <c r="HG105" s="150"/>
      <c r="HH105" s="150"/>
      <c r="HI105" s="150"/>
      <c r="HJ105" s="212"/>
      <c r="HK105" s="212"/>
      <c r="HL105" s="227"/>
      <c r="HV105" s="228"/>
    </row>
    <row r="106" spans="1:230" s="128" customFormat="1" ht="48" x14ac:dyDescent="0.2">
      <c r="A106" s="132" t="s">
        <v>440</v>
      </c>
      <c r="B106" s="133" t="s">
        <v>470</v>
      </c>
      <c r="C106" s="48">
        <f t="shared" ref="C106:G106" si="255">C50+C46+C75</f>
        <v>74109</v>
      </c>
      <c r="D106" s="48">
        <f t="shared" si="255"/>
        <v>73907</v>
      </c>
      <c r="E106" s="48">
        <f t="shared" si="255"/>
        <v>73909</v>
      </c>
      <c r="F106" s="48">
        <f t="shared" si="255"/>
        <v>73779</v>
      </c>
      <c r="G106" s="48">
        <f t="shared" si="255"/>
        <v>73884</v>
      </c>
      <c r="H106" s="48">
        <f t="shared" ref="H106:L106" si="256">H50+H46+H75</f>
        <v>67941</v>
      </c>
      <c r="I106" s="48">
        <f t="shared" si="256"/>
        <v>710</v>
      </c>
      <c r="J106" s="48">
        <f t="shared" si="256"/>
        <v>236</v>
      </c>
      <c r="K106" s="48">
        <f t="shared" si="256"/>
        <v>495</v>
      </c>
      <c r="L106" s="48">
        <f t="shared" si="256"/>
        <v>4502</v>
      </c>
      <c r="M106" s="48">
        <f t="shared" ref="M106:Q106" si="257">M50+M46+M75</f>
        <v>29768</v>
      </c>
      <c r="N106" s="48">
        <f t="shared" si="257"/>
        <v>29742</v>
      </c>
      <c r="O106" s="48">
        <f t="shared" si="257"/>
        <v>29733</v>
      </c>
      <c r="P106" s="48">
        <f t="shared" si="257"/>
        <v>29775</v>
      </c>
      <c r="Q106" s="48">
        <f t="shared" si="257"/>
        <v>29861</v>
      </c>
      <c r="R106" s="51">
        <v>27.4</v>
      </c>
      <c r="S106" s="51">
        <v>28.2</v>
      </c>
      <c r="T106" s="51">
        <v>29.029310007180626</v>
      </c>
      <c r="U106" s="51">
        <v>29.842679911603177</v>
      </c>
      <c r="V106" s="51">
        <v>30.221949293797699</v>
      </c>
      <c r="W106" s="38">
        <v>32.299999999999997</v>
      </c>
      <c r="X106" s="38">
        <v>32</v>
      </c>
      <c r="Y106" s="38">
        <v>31.792762800008706</v>
      </c>
      <c r="Z106" s="38">
        <v>31.588735969192395</v>
      </c>
      <c r="AA106" s="38">
        <v>31.818580577243615</v>
      </c>
      <c r="AB106" s="51">
        <v>59.8</v>
      </c>
      <c r="AC106" s="51">
        <v>60.2</v>
      </c>
      <c r="AD106" s="51">
        <v>60.822072807189329</v>
      </c>
      <c r="AE106" s="51">
        <v>61.431415880795569</v>
      </c>
      <c r="AF106" s="51">
        <v>62.040529871041315</v>
      </c>
      <c r="AG106" s="39">
        <v>5.4977499464272963</v>
      </c>
      <c r="AH106" s="39">
        <v>4.5072203043710797</v>
      </c>
      <c r="AI106" s="39">
        <v>4.055234273574885</v>
      </c>
      <c r="AJ106" s="39">
        <v>4.4533333333333331</v>
      </c>
      <c r="AK106" s="39">
        <v>4.1058394160583944</v>
      </c>
      <c r="AL106" s="48">
        <f>AL50+AL46+AL75</f>
        <v>2501.25</v>
      </c>
      <c r="AM106" s="48">
        <f>AM50+AM46+AM75</f>
        <v>2217.25</v>
      </c>
      <c r="AN106" s="48">
        <f>AN50+AN46+AN75</f>
        <v>2068.0833333333335</v>
      </c>
      <c r="AO106" s="48">
        <f>AO50+AO46+AO75</f>
        <v>1960.5833333333333</v>
      </c>
      <c r="AP106" s="48">
        <f>AP50+AP46+AP75</f>
        <v>1927.1666666666667</v>
      </c>
      <c r="AQ106" s="191">
        <v>42160.902174499541</v>
      </c>
      <c r="AR106" s="191">
        <v>43354.638600668281</v>
      </c>
      <c r="AS106" s="191">
        <v>44291.968431454829</v>
      </c>
      <c r="AT106" s="191">
        <v>44108.679570067361</v>
      </c>
      <c r="AU106" s="191">
        <v>46783.8368252937</v>
      </c>
      <c r="AV106" s="163" t="s">
        <v>144</v>
      </c>
      <c r="AW106" s="163" t="s">
        <v>144</v>
      </c>
      <c r="AX106" s="163" t="s">
        <v>144</v>
      </c>
      <c r="AY106" s="163" t="s">
        <v>144</v>
      </c>
      <c r="AZ106" s="197" t="s">
        <v>144</v>
      </c>
      <c r="BA106" s="42">
        <v>9.1576094395926297</v>
      </c>
      <c r="BB106" s="42">
        <v>8.804203190803463</v>
      </c>
      <c r="BC106" s="42">
        <v>8.4363127648777283</v>
      </c>
      <c r="BD106" s="42">
        <v>7.5156887461201691</v>
      </c>
      <c r="BE106" s="42">
        <v>8.027448432678252</v>
      </c>
      <c r="BF106" s="42">
        <v>12.324851474049995</v>
      </c>
      <c r="BG106" s="42">
        <v>12.257405515832483</v>
      </c>
      <c r="BH106" s="42">
        <v>11.099026903262736</v>
      </c>
      <c r="BI106" s="42">
        <v>10.011428571428571</v>
      </c>
      <c r="BJ106" s="42">
        <v>9.3309057806099229</v>
      </c>
      <c r="BK106" s="157">
        <f>BK50+BK46+BK75</f>
        <v>10950</v>
      </c>
      <c r="BL106" s="157">
        <f>BL50+BL46+BL75</f>
        <v>10822</v>
      </c>
      <c r="BM106" s="159">
        <f>BM50+BM46+BM75</f>
        <v>10644</v>
      </c>
      <c r="BN106" s="159">
        <f>BN50+BN46+BN75</f>
        <v>10737</v>
      </c>
      <c r="BO106" s="39">
        <v>36.429223744292237</v>
      </c>
      <c r="BP106" s="39">
        <v>36.130105340972094</v>
      </c>
      <c r="BQ106" s="39">
        <v>40.666439986399183</v>
      </c>
      <c r="BR106" s="39">
        <v>34.478904721989387</v>
      </c>
      <c r="BS106" s="51">
        <v>4.3561643835616435</v>
      </c>
      <c r="BT106" s="51">
        <v>4.4076880428756233</v>
      </c>
      <c r="BU106" s="51">
        <v>6.2818769126147567</v>
      </c>
      <c r="BV106" s="51">
        <v>4.8244388562913292</v>
      </c>
      <c r="BW106" s="39">
        <v>15.077625570776256</v>
      </c>
      <c r="BX106" s="39">
        <v>15.22823877287008</v>
      </c>
      <c r="BY106" s="39">
        <v>15.037402244134649</v>
      </c>
      <c r="BZ106" s="39">
        <v>16.745832169134765</v>
      </c>
      <c r="CA106" s="40">
        <v>88.116591928251125</v>
      </c>
      <c r="CB106" s="40">
        <v>88.69047619047619</v>
      </c>
      <c r="CC106" s="40">
        <v>89.404761904761912</v>
      </c>
      <c r="CD106" s="40">
        <v>87.123947051744892</v>
      </c>
      <c r="CE106" s="40">
        <v>4.8206278026905833</v>
      </c>
      <c r="CF106" s="40">
        <v>4.1518386714116255</v>
      </c>
      <c r="CG106" s="40">
        <v>4.0476190476190474</v>
      </c>
      <c r="CH106" s="40">
        <v>4.3321299638989164</v>
      </c>
      <c r="CI106" s="48">
        <v>4807</v>
      </c>
      <c r="CJ106" s="48">
        <v>5247</v>
      </c>
      <c r="CK106" s="48">
        <v>4661</v>
      </c>
      <c r="CL106" s="48">
        <v>4211</v>
      </c>
      <c r="CM106" s="39">
        <v>13.303002377216361</v>
      </c>
      <c r="CN106" s="39">
        <v>13.972066518433701</v>
      </c>
      <c r="CO106" s="39">
        <v>12.443934216146946</v>
      </c>
      <c r="CP106" s="39">
        <v>11.393768195937097</v>
      </c>
      <c r="CQ106" s="127">
        <f>CQ50+CQ46+CQ75</f>
        <v>185</v>
      </c>
      <c r="CR106" s="127">
        <f t="shared" ref="CR106:CT106" si="258">CR50+CR46+CR75</f>
        <v>209</v>
      </c>
      <c r="CS106" s="127">
        <f t="shared" si="258"/>
        <v>198</v>
      </c>
      <c r="CT106" s="127">
        <f t="shared" si="258"/>
        <v>177</v>
      </c>
      <c r="CU106" s="39">
        <v>4</v>
      </c>
      <c r="CV106" s="39">
        <v>4.0999999999999996</v>
      </c>
      <c r="CW106" s="39">
        <v>4.4000000000000004</v>
      </c>
      <c r="CX106" s="39">
        <v>4.3</v>
      </c>
      <c r="CY106" s="48">
        <f>CY50+CY46+CY75</f>
        <v>329</v>
      </c>
      <c r="CZ106" s="48">
        <f t="shared" ref="CZ106:DB106" si="259">CZ50+CZ46+CZ75</f>
        <v>376</v>
      </c>
      <c r="DA106" s="48">
        <f t="shared" si="259"/>
        <v>313</v>
      </c>
      <c r="DB106" s="48">
        <f t="shared" si="259"/>
        <v>290</v>
      </c>
      <c r="DC106" s="39">
        <v>7.4</v>
      </c>
      <c r="DD106" s="39">
        <v>8</v>
      </c>
      <c r="DE106" s="39">
        <v>7.3</v>
      </c>
      <c r="DF106" s="39">
        <v>7.1</v>
      </c>
      <c r="DG106" s="39">
        <v>85.2</v>
      </c>
      <c r="DH106" s="39">
        <v>86.6</v>
      </c>
      <c r="DI106" s="39">
        <v>86.9</v>
      </c>
      <c r="DJ106" s="39">
        <v>86.1</v>
      </c>
      <c r="DK106" s="39">
        <v>12</v>
      </c>
      <c r="DL106" s="39">
        <v>12.8</v>
      </c>
      <c r="DM106" s="39">
        <v>12.9</v>
      </c>
      <c r="DN106" s="39">
        <v>13.9</v>
      </c>
      <c r="DO106" s="39">
        <v>23.7</v>
      </c>
      <c r="DP106" s="39">
        <v>26.9</v>
      </c>
      <c r="DQ106" s="39">
        <v>28.7</v>
      </c>
      <c r="DR106" s="39">
        <v>32.5</v>
      </c>
      <c r="DS106" s="39">
        <v>32.299999999999997</v>
      </c>
      <c r="DT106" s="39">
        <v>34.4</v>
      </c>
      <c r="DU106" s="39">
        <v>24.1</v>
      </c>
      <c r="DV106" s="39">
        <v>15.1</v>
      </c>
      <c r="DW106" s="48">
        <f>DW50+DW46+DW75</f>
        <v>674</v>
      </c>
      <c r="DX106" s="48">
        <f t="shared" ref="DX106:EA106" si="260">DX50+DX46+DX75</f>
        <v>4</v>
      </c>
      <c r="DY106" s="48">
        <f t="shared" si="260"/>
        <v>2</v>
      </c>
      <c r="DZ106" s="48">
        <f t="shared" si="260"/>
        <v>7</v>
      </c>
      <c r="EA106" s="48">
        <f t="shared" si="260"/>
        <v>77</v>
      </c>
      <c r="EB106" s="48">
        <f t="shared" ref="EB106:EE106" si="261">EB50+EB46+EB75</f>
        <v>28</v>
      </c>
      <c r="EC106" s="48">
        <f t="shared" si="261"/>
        <v>18</v>
      </c>
      <c r="ED106" s="48">
        <f t="shared" si="261"/>
        <v>16</v>
      </c>
      <c r="EE106" s="48">
        <f t="shared" si="261"/>
        <v>21</v>
      </c>
      <c r="EF106" s="48">
        <f>EF50+EF46+EF75</f>
        <v>3379</v>
      </c>
      <c r="EG106" s="48">
        <f t="shared" ref="EG106:EI106" si="262">EG50+EG46+EG75</f>
        <v>3268</v>
      </c>
      <c r="EH106" s="48">
        <f t="shared" si="262"/>
        <v>3273</v>
      </c>
      <c r="EI106" s="48">
        <f t="shared" si="262"/>
        <v>3592</v>
      </c>
      <c r="EJ106" s="48">
        <f t="shared" ref="EJ106:EN106" si="263">EJ50+EJ46+EJ75</f>
        <v>714</v>
      </c>
      <c r="EK106" s="48">
        <f t="shared" si="263"/>
        <v>3</v>
      </c>
      <c r="EL106" s="48">
        <f t="shared" si="263"/>
        <v>1</v>
      </c>
      <c r="EM106" s="48">
        <f t="shared" si="263"/>
        <v>0</v>
      </c>
      <c r="EN106" s="48">
        <f t="shared" si="263"/>
        <v>7</v>
      </c>
      <c r="EO106" s="39">
        <v>927.04875305220992</v>
      </c>
      <c r="EP106" s="39">
        <v>868.64068895858816</v>
      </c>
      <c r="EQ106" s="39">
        <v>870.74504170158423</v>
      </c>
      <c r="ER106" s="39">
        <v>972.00611562867857</v>
      </c>
      <c r="ES106" s="39">
        <v>739.625</v>
      </c>
      <c r="ET106" s="39">
        <v>654.09</v>
      </c>
      <c r="EU106" s="39">
        <v>648.91099999999994</v>
      </c>
      <c r="EV106" s="39">
        <v>660.50199999999995</v>
      </c>
      <c r="EW106" s="39">
        <v>934.32100000000003</v>
      </c>
      <c r="EX106" s="39">
        <v>808.23</v>
      </c>
      <c r="EY106" s="39">
        <v>800.17</v>
      </c>
      <c r="EZ106" s="39">
        <v>765.78300000000002</v>
      </c>
      <c r="FA106" s="39">
        <v>595.15</v>
      </c>
      <c r="FB106" s="39">
        <v>532.77499999999998</v>
      </c>
      <c r="FC106" s="39">
        <v>528.18899999999996</v>
      </c>
      <c r="FD106" s="39">
        <v>572.803</v>
      </c>
      <c r="FE106" s="48">
        <f t="shared" ref="FE106:FH106" si="264">FE50+FE46+FE75</f>
        <v>741</v>
      </c>
      <c r="FF106" s="48">
        <f t="shared" si="264"/>
        <v>725</v>
      </c>
      <c r="FG106" s="48">
        <f t="shared" si="264"/>
        <v>801</v>
      </c>
      <c r="FH106" s="48">
        <f t="shared" si="264"/>
        <v>798</v>
      </c>
      <c r="FI106" s="39">
        <v>173.04900000000001</v>
      </c>
      <c r="FJ106" s="39">
        <v>158.327</v>
      </c>
      <c r="FK106" s="39">
        <v>165.56299999999999</v>
      </c>
      <c r="FL106" s="39">
        <v>154.68700000000001</v>
      </c>
      <c r="FM106" s="48">
        <f t="shared" ref="FM106:FP106" si="265">FM50+FM46+FM75</f>
        <v>941</v>
      </c>
      <c r="FN106" s="48">
        <f t="shared" si="265"/>
        <v>783</v>
      </c>
      <c r="FO106" s="48">
        <f t="shared" si="265"/>
        <v>699</v>
      </c>
      <c r="FP106" s="48">
        <f t="shared" si="265"/>
        <v>759</v>
      </c>
      <c r="FQ106" s="39">
        <v>198.11099999999999</v>
      </c>
      <c r="FR106" s="39">
        <v>147.06</v>
      </c>
      <c r="FS106" s="39">
        <v>131.828</v>
      </c>
      <c r="FT106" s="39">
        <v>131.74199999999999</v>
      </c>
      <c r="FU106" s="48">
        <f t="shared" ref="FU106:FX106" si="266">FU50+FU46+FU75</f>
        <v>323</v>
      </c>
      <c r="FV106" s="48">
        <f t="shared" si="266"/>
        <v>251</v>
      </c>
      <c r="FW106" s="48">
        <f t="shared" si="266"/>
        <v>198</v>
      </c>
      <c r="FX106" s="48">
        <f t="shared" si="266"/>
        <v>203</v>
      </c>
      <c r="FY106" s="39">
        <v>65.573999999999998</v>
      </c>
      <c r="FZ106" s="39">
        <v>47.319000000000003</v>
      </c>
      <c r="GA106" s="39">
        <v>36.82</v>
      </c>
      <c r="GB106" s="39">
        <v>35.673000000000002</v>
      </c>
      <c r="GC106" s="48">
        <f t="shared" ref="GC106:GF106" si="267">GC50+GC46+GC75</f>
        <v>168</v>
      </c>
      <c r="GD106" s="48">
        <f t="shared" si="267"/>
        <v>165</v>
      </c>
      <c r="GE106" s="48">
        <f t="shared" si="267"/>
        <v>187</v>
      </c>
      <c r="GF106" s="48">
        <f t="shared" si="267"/>
        <v>183</v>
      </c>
      <c r="GG106" s="182">
        <v>41.86</v>
      </c>
      <c r="GH106" s="182">
        <v>36.945999999999998</v>
      </c>
      <c r="GI106" s="182">
        <v>41.204000000000001</v>
      </c>
      <c r="GJ106" s="182">
        <v>39.719000000000001</v>
      </c>
      <c r="GK106" s="182"/>
      <c r="GL106" s="212"/>
      <c r="GM106" s="212"/>
      <c r="GN106" s="212"/>
      <c r="GP106" s="212"/>
      <c r="GQ106" s="212"/>
      <c r="GR106" s="212"/>
      <c r="GS106" s="212"/>
      <c r="GU106" s="212"/>
      <c r="GV106" s="212"/>
      <c r="GW106" s="212"/>
      <c r="GX106" s="212"/>
      <c r="HE106" s="150"/>
      <c r="HF106" s="150"/>
      <c r="HG106" s="150"/>
      <c r="HH106" s="150"/>
      <c r="HI106" s="150"/>
      <c r="HJ106" s="212"/>
      <c r="HK106" s="212"/>
      <c r="HL106" s="227"/>
      <c r="HV106" s="228"/>
    </row>
    <row r="107" spans="1:230" s="128" customFormat="1" ht="48" x14ac:dyDescent="0.2">
      <c r="A107" s="132" t="s">
        <v>441</v>
      </c>
      <c r="B107" s="133" t="s">
        <v>471</v>
      </c>
      <c r="C107" s="48">
        <f t="shared" ref="C107:G107" si="268">C47+C57+C63</f>
        <v>43732</v>
      </c>
      <c r="D107" s="48">
        <f t="shared" si="268"/>
        <v>43848</v>
      </c>
      <c r="E107" s="48">
        <f t="shared" si="268"/>
        <v>43668</v>
      </c>
      <c r="F107" s="48">
        <f t="shared" si="268"/>
        <v>43704</v>
      </c>
      <c r="G107" s="48">
        <f t="shared" si="268"/>
        <v>43812</v>
      </c>
      <c r="H107" s="48">
        <f t="shared" ref="H107:L107" si="269">H47+H57+H63</f>
        <v>36456</v>
      </c>
      <c r="I107" s="48">
        <f t="shared" si="269"/>
        <v>1086</v>
      </c>
      <c r="J107" s="48">
        <f t="shared" si="269"/>
        <v>3178</v>
      </c>
      <c r="K107" s="48">
        <f t="shared" si="269"/>
        <v>419</v>
      </c>
      <c r="L107" s="48">
        <f t="shared" si="269"/>
        <v>2673</v>
      </c>
      <c r="M107" s="48">
        <f t="shared" ref="M107:Q107" si="270">M47+M57+M63</f>
        <v>17586</v>
      </c>
      <c r="N107" s="48">
        <f t="shared" si="270"/>
        <v>17578</v>
      </c>
      <c r="O107" s="48">
        <f t="shared" si="270"/>
        <v>17520</v>
      </c>
      <c r="P107" s="48">
        <f t="shared" si="270"/>
        <v>17565</v>
      </c>
      <c r="Q107" s="48">
        <f t="shared" si="270"/>
        <v>17685</v>
      </c>
      <c r="R107" s="51">
        <v>28.4</v>
      </c>
      <c r="S107" s="51">
        <v>28.6</v>
      </c>
      <c r="T107" s="51">
        <v>29.142708758392999</v>
      </c>
      <c r="U107" s="51">
        <v>29.690482428234588</v>
      </c>
      <c r="V107" s="51">
        <v>29.622563872367486</v>
      </c>
      <c r="W107" s="38">
        <v>32.200000000000003</v>
      </c>
      <c r="X107" s="38">
        <v>32.700000000000003</v>
      </c>
      <c r="Y107" s="38">
        <v>32.848610750454426</v>
      </c>
      <c r="Z107" s="38">
        <v>33.878513417418318</v>
      </c>
      <c r="AA107" s="38">
        <v>34.264766393595927</v>
      </c>
      <c r="AB107" s="51">
        <v>60.6</v>
      </c>
      <c r="AC107" s="51">
        <v>61.3</v>
      </c>
      <c r="AD107" s="51">
        <v>61.991319508847418</v>
      </c>
      <c r="AE107" s="51">
        <v>63.568995845652907</v>
      </c>
      <c r="AF107" s="51">
        <v>63.887330265963413</v>
      </c>
      <c r="AG107" s="39">
        <v>4.8536402301726298</v>
      </c>
      <c r="AH107" s="39">
        <v>4.65095947895266</v>
      </c>
      <c r="AI107" s="39">
        <v>4.3896159622398629</v>
      </c>
      <c r="AJ107" s="39">
        <v>4.5737412420035684</v>
      </c>
      <c r="AK107" s="39">
        <v>5.0198099780743934</v>
      </c>
      <c r="AL107" s="48">
        <f>AL47+AL57+AL63</f>
        <v>2768.333333333333</v>
      </c>
      <c r="AM107" s="48">
        <f>AM47+AM57+AM63</f>
        <v>2168.1666666666665</v>
      </c>
      <c r="AN107" s="48">
        <f>AN47+AN57+AN63</f>
        <v>2008.5</v>
      </c>
      <c r="AO107" s="48">
        <f>AO47+AO57+AO63</f>
        <v>2052.166666666667</v>
      </c>
      <c r="AP107" s="48">
        <f>AP47+AP57+AP63</f>
        <v>2029.9166666666667</v>
      </c>
      <c r="AQ107" s="191">
        <v>48119.109385704498</v>
      </c>
      <c r="AR107" s="191">
        <v>44411.540983606559</v>
      </c>
      <c r="AS107" s="191">
        <v>44500.626864301776</v>
      </c>
      <c r="AT107" s="191">
        <v>45035.868570382576</v>
      </c>
      <c r="AU107" s="191">
        <v>43783.157810645484</v>
      </c>
      <c r="AV107" s="163" t="s">
        <v>144</v>
      </c>
      <c r="AW107" s="163" t="s">
        <v>144</v>
      </c>
      <c r="AX107" s="163" t="s">
        <v>144</v>
      </c>
      <c r="AY107" s="163" t="s">
        <v>144</v>
      </c>
      <c r="AZ107" s="197" t="s">
        <v>144</v>
      </c>
      <c r="BA107" s="42">
        <v>14.765323287606321</v>
      </c>
      <c r="BB107" s="42">
        <v>13.710858168422046</v>
      </c>
      <c r="BC107" s="42">
        <v>12.982190582058134</v>
      </c>
      <c r="BD107" s="42">
        <v>14.021599853560316</v>
      </c>
      <c r="BE107" s="42">
        <v>12.567333150734958</v>
      </c>
      <c r="BF107" s="42">
        <v>21.007430280806716</v>
      </c>
      <c r="BG107" s="42">
        <v>18.905186463426325</v>
      </c>
      <c r="BH107" s="42">
        <v>19.206760779794489</v>
      </c>
      <c r="BI107" s="42">
        <v>20.856558900037161</v>
      </c>
      <c r="BJ107" s="42">
        <v>16.807716807716808</v>
      </c>
      <c r="BK107" s="157">
        <f>BK47+BK57+BK63</f>
        <v>7324</v>
      </c>
      <c r="BL107" s="157">
        <f>BL47+BL57+BL63</f>
        <v>7526</v>
      </c>
      <c r="BM107" s="159">
        <f>BM47+BM57+BM63</f>
        <v>7472</v>
      </c>
      <c r="BN107" s="159">
        <f>BN47+BN57+BN63</f>
        <v>7451</v>
      </c>
      <c r="BO107" s="39">
        <v>46.299836155106497</v>
      </c>
      <c r="BP107" s="39">
        <v>47.940473026840287</v>
      </c>
      <c r="BQ107" s="39">
        <v>33.576269019306991</v>
      </c>
      <c r="BR107" s="39">
        <v>45.846195141591735</v>
      </c>
      <c r="BS107" s="51">
        <v>1.1469142545057345</v>
      </c>
      <c r="BT107" s="51">
        <v>2.3385596598458678</v>
      </c>
      <c r="BU107" s="51">
        <v>3.503388313514896</v>
      </c>
      <c r="BV107" s="51">
        <v>3.4760434840960945</v>
      </c>
      <c r="BW107" s="39">
        <v>15.865647187329328</v>
      </c>
      <c r="BX107" s="39">
        <v>15.785277703959606</v>
      </c>
      <c r="BY107" s="39">
        <v>14.908579465541491</v>
      </c>
      <c r="BZ107" s="39">
        <v>17.07153402227889</v>
      </c>
      <c r="CA107" s="40">
        <v>79.827586206896555</v>
      </c>
      <c r="CB107" s="40">
        <v>85.762144053601347</v>
      </c>
      <c r="CC107" s="40">
        <v>83.001808318264011</v>
      </c>
      <c r="CD107" s="40">
        <v>83.450704225352112</v>
      </c>
      <c r="CE107" s="40">
        <v>7.2413793103448283</v>
      </c>
      <c r="CF107" s="40">
        <v>7</v>
      </c>
      <c r="CG107" s="40">
        <v>6.6907775768535265</v>
      </c>
      <c r="CH107" s="40">
        <v>6.8661971830985919</v>
      </c>
      <c r="CI107" s="48">
        <v>2436</v>
      </c>
      <c r="CJ107" s="48">
        <v>2734</v>
      </c>
      <c r="CK107" s="48">
        <v>2879</v>
      </c>
      <c r="CL107" s="48">
        <v>2989</v>
      </c>
      <c r="CM107" s="39">
        <v>11.162739545242088</v>
      </c>
      <c r="CN107" s="39">
        <v>12.699798865658051</v>
      </c>
      <c r="CO107" s="39">
        <v>13.333950860292244</v>
      </c>
      <c r="CP107" s="39">
        <v>13.663125559964161</v>
      </c>
      <c r="CQ107" s="127">
        <f>CQ47+CQ57+CQ63</f>
        <v>96</v>
      </c>
      <c r="CR107" s="127">
        <f t="shared" ref="CR107:CT107" si="271">CR47+CR57+CR63</f>
        <v>132</v>
      </c>
      <c r="CS107" s="127">
        <f t="shared" si="271"/>
        <v>132</v>
      </c>
      <c r="CT107" s="127">
        <f t="shared" si="271"/>
        <v>142</v>
      </c>
      <c r="CU107" s="39">
        <v>4.0999999999999996</v>
      </c>
      <c r="CV107" s="39">
        <v>5</v>
      </c>
      <c r="CW107" s="39">
        <v>4.8</v>
      </c>
      <c r="CX107" s="39">
        <v>4.9000000000000004</v>
      </c>
      <c r="CY107" s="48">
        <f>CY47+CY57+CY63</f>
        <v>182</v>
      </c>
      <c r="CZ107" s="48">
        <f t="shared" ref="CZ107:DB107" si="272">CZ47+CZ57+CZ63</f>
        <v>234</v>
      </c>
      <c r="DA107" s="48">
        <f t="shared" si="272"/>
        <v>237</v>
      </c>
      <c r="DB107" s="48">
        <f t="shared" si="272"/>
        <v>230</v>
      </c>
      <c r="DC107" s="39">
        <v>8.1999999999999993</v>
      </c>
      <c r="DD107" s="39">
        <v>9.6</v>
      </c>
      <c r="DE107" s="39">
        <v>9.1</v>
      </c>
      <c r="DF107" s="39">
        <v>8</v>
      </c>
      <c r="DG107" s="39">
        <v>79.8</v>
      </c>
      <c r="DH107" s="39">
        <v>81</v>
      </c>
      <c r="DI107" s="39">
        <v>75.400000000000006</v>
      </c>
      <c r="DJ107" s="39">
        <v>71.900000000000006</v>
      </c>
      <c r="DK107" s="39">
        <v>18</v>
      </c>
      <c r="DL107" s="39">
        <v>17.7</v>
      </c>
      <c r="DM107" s="39">
        <v>21.2</v>
      </c>
      <c r="DN107" s="39">
        <v>20.2</v>
      </c>
      <c r="DO107" s="39">
        <v>34.6</v>
      </c>
      <c r="DP107" s="39">
        <v>39.200000000000003</v>
      </c>
      <c r="DQ107" s="39">
        <v>42.2</v>
      </c>
      <c r="DR107" s="39">
        <v>41.1</v>
      </c>
      <c r="DS107" s="39">
        <v>35</v>
      </c>
      <c r="DT107" s="39">
        <v>36.9</v>
      </c>
      <c r="DU107" s="39">
        <v>35.6</v>
      </c>
      <c r="DV107" s="39">
        <v>24.4</v>
      </c>
      <c r="DW107" s="48">
        <f>DW47+DW57+DW63</f>
        <v>447</v>
      </c>
      <c r="DX107" s="48">
        <f t="shared" ref="DX107:EA107" si="273">DX47+DX57+DX63</f>
        <v>49</v>
      </c>
      <c r="DY107" s="48">
        <f t="shared" si="273"/>
        <v>78</v>
      </c>
      <c r="DZ107" s="48">
        <f t="shared" si="273"/>
        <v>7</v>
      </c>
      <c r="EA107" s="48">
        <f t="shared" si="273"/>
        <v>24</v>
      </c>
      <c r="EB107" s="48">
        <f t="shared" ref="EB107:EE107" si="274">EB47+EB57+EB63</f>
        <v>14</v>
      </c>
      <c r="EC107" s="48">
        <f t="shared" si="274"/>
        <v>16</v>
      </c>
      <c r="ED107" s="48">
        <f t="shared" si="274"/>
        <v>17</v>
      </c>
      <c r="EE107" s="48">
        <f t="shared" si="274"/>
        <v>24</v>
      </c>
      <c r="EF107" s="48">
        <f>EF47+EF57+EF63</f>
        <v>2553</v>
      </c>
      <c r="EG107" s="48">
        <f t="shared" ref="EG107:EI107" si="275">EG47+EG57+EG63</f>
        <v>2531</v>
      </c>
      <c r="EH107" s="48">
        <f t="shared" si="275"/>
        <v>2559</v>
      </c>
      <c r="EI107" s="48">
        <f t="shared" si="275"/>
        <v>2502</v>
      </c>
      <c r="EJ107" s="48">
        <f t="shared" ref="EJ107:EN107" si="276">EJ47+EJ57+EJ63</f>
        <v>466</v>
      </c>
      <c r="EK107" s="48">
        <f t="shared" si="276"/>
        <v>4</v>
      </c>
      <c r="EL107" s="48">
        <f t="shared" si="276"/>
        <v>53</v>
      </c>
      <c r="EM107" s="48">
        <f t="shared" si="276"/>
        <v>1</v>
      </c>
      <c r="EN107" s="48">
        <f t="shared" si="276"/>
        <v>4</v>
      </c>
      <c r="EO107" s="39">
        <v>1160.4281720869981</v>
      </c>
      <c r="EP107" s="39">
        <v>1170.4316862817639</v>
      </c>
      <c r="EQ107" s="39">
        <v>1166.7616550780806</v>
      </c>
      <c r="ER107" s="39">
        <v>1145.9192085737841</v>
      </c>
      <c r="ES107" s="39">
        <v>794.43</v>
      </c>
      <c r="ET107" s="39">
        <v>787.95600000000002</v>
      </c>
      <c r="EU107" s="39">
        <v>800.98099999999999</v>
      </c>
      <c r="EV107" s="39">
        <v>792.66099999999994</v>
      </c>
      <c r="EW107" s="39">
        <v>1011.335</v>
      </c>
      <c r="EX107" s="39">
        <v>1027.568</v>
      </c>
      <c r="EY107" s="39">
        <v>988.72799999999995</v>
      </c>
      <c r="EZ107" s="39">
        <v>970.06100000000004</v>
      </c>
      <c r="FA107" s="39">
        <v>629.13800000000003</v>
      </c>
      <c r="FB107" s="39">
        <v>622.76800000000003</v>
      </c>
      <c r="FC107" s="39">
        <v>663.06100000000004</v>
      </c>
      <c r="FD107" s="39">
        <v>646.82299999999998</v>
      </c>
      <c r="FE107" s="48">
        <f t="shared" ref="FE107:FH107" si="277">FE47+FE57+FE63</f>
        <v>582</v>
      </c>
      <c r="FF107" s="48">
        <f t="shared" si="277"/>
        <v>496</v>
      </c>
      <c r="FG107" s="48">
        <f t="shared" si="277"/>
        <v>575</v>
      </c>
      <c r="FH107" s="48">
        <f t="shared" si="277"/>
        <v>492</v>
      </c>
      <c r="FI107" s="39">
        <v>196.81200000000001</v>
      </c>
      <c r="FJ107" s="39">
        <v>167.06899999999999</v>
      </c>
      <c r="FK107" s="39">
        <v>189.86799999999999</v>
      </c>
      <c r="FL107" s="39">
        <v>159.505</v>
      </c>
      <c r="FM107" s="48">
        <f t="shared" ref="FM107:FP107" si="278">FM47+FM57+FM63</f>
        <v>607</v>
      </c>
      <c r="FN107" s="48">
        <f t="shared" si="278"/>
        <v>543</v>
      </c>
      <c r="FO107" s="48">
        <f t="shared" si="278"/>
        <v>534</v>
      </c>
      <c r="FP107" s="48">
        <f t="shared" si="278"/>
        <v>515</v>
      </c>
      <c r="FQ107" s="39">
        <v>182.02099999999999</v>
      </c>
      <c r="FR107" s="39">
        <v>158.41999999999999</v>
      </c>
      <c r="FS107" s="39">
        <v>158.63999999999999</v>
      </c>
      <c r="FT107" s="39">
        <v>150.49600000000001</v>
      </c>
      <c r="FU107" s="48">
        <f t="shared" ref="FU107:FX107" si="279">FU47+FU57+FU63</f>
        <v>205</v>
      </c>
      <c r="FV107" s="48">
        <f t="shared" si="279"/>
        <v>174</v>
      </c>
      <c r="FW107" s="48">
        <f t="shared" si="279"/>
        <v>135</v>
      </c>
      <c r="FX107" s="48">
        <f t="shared" si="279"/>
        <v>125</v>
      </c>
      <c r="FY107" s="39">
        <v>56.335999999999999</v>
      </c>
      <c r="FZ107" s="39">
        <v>48.314</v>
      </c>
      <c r="GA107" s="39">
        <v>37.07</v>
      </c>
      <c r="GB107" s="39">
        <v>35.183</v>
      </c>
      <c r="GC107" s="48">
        <f t="shared" ref="GC107:GF107" si="280">GC47+GC57+GC63</f>
        <v>91</v>
      </c>
      <c r="GD107" s="48">
        <f t="shared" si="280"/>
        <v>113</v>
      </c>
      <c r="GE107" s="48">
        <f t="shared" si="280"/>
        <v>128</v>
      </c>
      <c r="GF107" s="48">
        <f t="shared" si="280"/>
        <v>152</v>
      </c>
      <c r="GG107" s="182">
        <v>34.648000000000003</v>
      </c>
      <c r="GH107" s="182">
        <v>45.853000000000002</v>
      </c>
      <c r="GI107" s="182">
        <v>52.915999999999997</v>
      </c>
      <c r="GJ107" s="182">
        <v>64.456000000000003</v>
      </c>
      <c r="GK107" s="182"/>
      <c r="GL107" s="212"/>
      <c r="GM107" s="212"/>
      <c r="GN107" s="212"/>
      <c r="GP107" s="212"/>
      <c r="GQ107" s="212"/>
      <c r="GR107" s="212"/>
      <c r="GS107" s="212"/>
      <c r="GU107" s="212"/>
      <c r="GV107" s="212"/>
      <c r="GW107" s="212"/>
      <c r="GX107" s="212"/>
      <c r="HE107" s="150"/>
      <c r="HF107" s="150"/>
      <c r="HG107" s="150"/>
      <c r="HH107" s="150"/>
      <c r="HI107" s="150"/>
      <c r="HJ107" s="212"/>
      <c r="HK107" s="212"/>
      <c r="HL107" s="227"/>
      <c r="HV107" s="228"/>
    </row>
    <row r="108" spans="1:230" s="128" customFormat="1" ht="36" x14ac:dyDescent="0.2">
      <c r="A108" s="132" t="s">
        <v>442</v>
      </c>
      <c r="B108" s="133" t="s">
        <v>472</v>
      </c>
      <c r="C108" s="48">
        <f t="shared" ref="C108:G108" si="281">C52+C80+C83</f>
        <v>71058</v>
      </c>
      <c r="D108" s="48">
        <f t="shared" si="281"/>
        <v>70831</v>
      </c>
      <c r="E108" s="48">
        <f t="shared" si="281"/>
        <v>70907</v>
      </c>
      <c r="F108" s="48">
        <f t="shared" si="281"/>
        <v>70815</v>
      </c>
      <c r="G108" s="48">
        <f t="shared" si="281"/>
        <v>71248</v>
      </c>
      <c r="H108" s="48">
        <f t="shared" ref="H108:L108" si="282">H52+H80+H83</f>
        <v>67465</v>
      </c>
      <c r="I108" s="48">
        <f t="shared" si="282"/>
        <v>755</v>
      </c>
      <c r="J108" s="48">
        <f t="shared" si="282"/>
        <v>338</v>
      </c>
      <c r="K108" s="48">
        <f t="shared" si="282"/>
        <v>417</v>
      </c>
      <c r="L108" s="48">
        <f t="shared" si="282"/>
        <v>2273</v>
      </c>
      <c r="M108" s="48">
        <f t="shared" ref="M108:Q108" si="283">M52+M80+M83</f>
        <v>28468</v>
      </c>
      <c r="N108" s="48">
        <f t="shared" si="283"/>
        <v>28473</v>
      </c>
      <c r="O108" s="48">
        <f t="shared" si="283"/>
        <v>28539</v>
      </c>
      <c r="P108" s="48">
        <f t="shared" si="283"/>
        <v>28627</v>
      </c>
      <c r="Q108" s="48">
        <f t="shared" si="283"/>
        <v>28792</v>
      </c>
      <c r="R108" s="51">
        <v>30.1</v>
      </c>
      <c r="S108" s="51">
        <v>30.7</v>
      </c>
      <c r="T108" s="51">
        <v>31.491163135005092</v>
      </c>
      <c r="U108" s="51">
        <v>32.369874828092584</v>
      </c>
      <c r="V108" s="51">
        <v>33.50287120590648</v>
      </c>
      <c r="W108" s="38">
        <v>32.1</v>
      </c>
      <c r="X108" s="38">
        <v>32.1</v>
      </c>
      <c r="Y108" s="38">
        <v>32.539095030998425</v>
      </c>
      <c r="Z108" s="38">
        <v>32.69620754760961</v>
      </c>
      <c r="AA108" s="38">
        <v>33.491151998124927</v>
      </c>
      <c r="AB108" s="51">
        <v>62.2</v>
      </c>
      <c r="AC108" s="51">
        <v>62.8</v>
      </c>
      <c r="AD108" s="51">
        <v>64.03025816600352</v>
      </c>
      <c r="AE108" s="51">
        <v>65.066082375702194</v>
      </c>
      <c r="AF108" s="51">
        <v>66.994023204031407</v>
      </c>
      <c r="AG108" s="39">
        <v>6.4405371729198393</v>
      </c>
      <c r="AH108" s="39">
        <v>5.5826974803754732</v>
      </c>
      <c r="AI108" s="39">
        <v>5.1333655342671607</v>
      </c>
      <c r="AJ108" s="39">
        <v>5.3918376207532832</v>
      </c>
      <c r="AK108" s="39">
        <v>5.0543566444913193</v>
      </c>
      <c r="AL108" s="48">
        <f>AL52+AL80+AL83</f>
        <v>3438.1666666666665</v>
      </c>
      <c r="AM108" s="48">
        <f>AM52+AM80+AM83</f>
        <v>3184.2499999999995</v>
      </c>
      <c r="AN108" s="48">
        <f>AN52+AN80+AN83</f>
        <v>2988.666666666667</v>
      </c>
      <c r="AO108" s="48">
        <f>AO52+AO80+AO83</f>
        <v>2829.6666666666665</v>
      </c>
      <c r="AP108" s="48">
        <f>AP52+AP80+AP83</f>
        <v>2806.4166666666665</v>
      </c>
      <c r="AQ108" s="191">
        <v>36055.928945589731</v>
      </c>
      <c r="AR108" s="191">
        <v>37927.188140359802</v>
      </c>
      <c r="AS108" s="191">
        <v>38418.56943051298</v>
      </c>
      <c r="AT108" s="191">
        <v>38287.113747087482</v>
      </c>
      <c r="AU108" s="191">
        <v>39838.786071187969</v>
      </c>
      <c r="AV108" s="163" t="s">
        <v>144</v>
      </c>
      <c r="AW108" s="163" t="s">
        <v>144</v>
      </c>
      <c r="AX108" s="163" t="s">
        <v>144</v>
      </c>
      <c r="AY108" s="163" t="s">
        <v>144</v>
      </c>
      <c r="AZ108" s="197" t="s">
        <v>144</v>
      </c>
      <c r="BA108" s="42">
        <v>13.257272102611086</v>
      </c>
      <c r="BB108" s="42">
        <v>14.63407632798932</v>
      </c>
      <c r="BC108" s="42">
        <v>12.340157119100866</v>
      </c>
      <c r="BD108" s="42">
        <v>12.428157876156181</v>
      </c>
      <c r="BE108" s="42">
        <v>12.229115203233775</v>
      </c>
      <c r="BF108" s="42">
        <v>18.649748623413934</v>
      </c>
      <c r="BG108" s="42">
        <v>20.254769379376963</v>
      </c>
      <c r="BH108" s="42">
        <v>17.392872167798544</v>
      </c>
      <c r="BI108" s="42">
        <v>17.190278601066982</v>
      </c>
      <c r="BJ108" s="42">
        <v>16.003981964045209</v>
      </c>
      <c r="BK108" s="157">
        <f>BK52+BK80+BK83</f>
        <v>11626</v>
      </c>
      <c r="BL108" s="157">
        <f>BL52+BL80+BL83</f>
        <v>11640</v>
      </c>
      <c r="BM108" s="159">
        <f>BM52+BM80+BM83</f>
        <v>11405</v>
      </c>
      <c r="BN108" s="159">
        <f>BN52+BN80+BN83</f>
        <v>11751</v>
      </c>
      <c r="BO108" s="39">
        <v>48.68398417340444</v>
      </c>
      <c r="BP108" s="39">
        <v>47.096219931271477</v>
      </c>
      <c r="BQ108" s="39">
        <v>35.325065764750093</v>
      </c>
      <c r="BR108" s="39">
        <v>46.693898391626242</v>
      </c>
      <c r="BS108" s="51">
        <v>1.6428694305866163</v>
      </c>
      <c r="BT108" s="51">
        <v>1.7268041237113403</v>
      </c>
      <c r="BU108" s="51">
        <v>4.8759864712514096</v>
      </c>
      <c r="BV108" s="51">
        <v>2.2806569653646496</v>
      </c>
      <c r="BW108" s="39">
        <v>17.047995871322897</v>
      </c>
      <c r="BX108" s="39">
        <v>17.972508591065292</v>
      </c>
      <c r="BY108" s="39">
        <v>14.177001127395716</v>
      </c>
      <c r="BZ108" s="39">
        <v>18.466513488213767</v>
      </c>
      <c r="CA108" s="40">
        <v>87.200832466181069</v>
      </c>
      <c r="CB108" s="40">
        <v>87.472283813747225</v>
      </c>
      <c r="CC108" s="40">
        <v>88.813559322033896</v>
      </c>
      <c r="CD108" s="40">
        <v>87.743413516609394</v>
      </c>
      <c r="CE108" s="40">
        <v>3.9542143600416231</v>
      </c>
      <c r="CF108" s="40">
        <v>5.5555555555555554</v>
      </c>
      <c r="CG108" s="40">
        <v>2.9378531073446328</v>
      </c>
      <c r="CH108" s="40">
        <v>4.6964490263459338</v>
      </c>
      <c r="CI108" s="48">
        <v>4187</v>
      </c>
      <c r="CJ108" s="48">
        <v>4678</v>
      </c>
      <c r="CK108" s="48">
        <v>4562</v>
      </c>
      <c r="CL108" s="48">
        <v>4445</v>
      </c>
      <c r="CM108" s="39">
        <v>12.094863943613149</v>
      </c>
      <c r="CN108" s="39">
        <v>13.238473641910325</v>
      </c>
      <c r="CO108" s="39">
        <v>12.842745340915489</v>
      </c>
      <c r="CP108" s="39">
        <v>12.526101916535865</v>
      </c>
      <c r="CQ108" s="127">
        <f>CQ52+CQ80+CQ83</f>
        <v>179</v>
      </c>
      <c r="CR108" s="127">
        <f t="shared" ref="CR108:CT108" si="284">CR52+CR80+CR83</f>
        <v>230</v>
      </c>
      <c r="CS108" s="127">
        <f t="shared" si="284"/>
        <v>196</v>
      </c>
      <c r="CT108" s="127">
        <f t="shared" si="284"/>
        <v>181</v>
      </c>
      <c r="CU108" s="39">
        <v>4.4000000000000004</v>
      </c>
      <c r="CV108" s="39">
        <v>5.0999999999999996</v>
      </c>
      <c r="CW108" s="39">
        <v>4.4000000000000004</v>
      </c>
      <c r="CX108" s="39">
        <v>4.2</v>
      </c>
      <c r="CY108" s="48">
        <f>CY52+CY80+CY83</f>
        <v>297</v>
      </c>
      <c r="CZ108" s="48">
        <f t="shared" ref="CZ108:DB108" si="285">CZ52+CZ80+CZ83</f>
        <v>373</v>
      </c>
      <c r="DA108" s="48">
        <f t="shared" si="285"/>
        <v>359</v>
      </c>
      <c r="DB108" s="48">
        <f t="shared" si="285"/>
        <v>312</v>
      </c>
      <c r="DC108" s="39">
        <v>7.6</v>
      </c>
      <c r="DD108" s="39">
        <v>8.6999999999999993</v>
      </c>
      <c r="DE108" s="39">
        <v>8.5</v>
      </c>
      <c r="DF108" s="39">
        <v>7.3</v>
      </c>
      <c r="DG108" s="39">
        <v>83.2</v>
      </c>
      <c r="DH108" s="39">
        <v>84.4</v>
      </c>
      <c r="DI108" s="39">
        <v>83.1</v>
      </c>
      <c r="DJ108" s="39">
        <v>83.5</v>
      </c>
      <c r="DK108" s="39">
        <v>21.7</v>
      </c>
      <c r="DL108" s="39">
        <v>19.899999999999999</v>
      </c>
      <c r="DM108" s="39">
        <v>18.399999999999999</v>
      </c>
      <c r="DN108" s="39">
        <v>18.2</v>
      </c>
      <c r="DO108" s="39">
        <v>28.9</v>
      </c>
      <c r="DP108" s="39">
        <v>31.8</v>
      </c>
      <c r="DQ108" s="39">
        <v>31.9</v>
      </c>
      <c r="DR108" s="39">
        <v>32.700000000000003</v>
      </c>
      <c r="DS108" s="39">
        <v>31.6</v>
      </c>
      <c r="DT108" s="39">
        <v>33.1</v>
      </c>
      <c r="DU108" s="39">
        <v>26.3</v>
      </c>
      <c r="DV108" s="39">
        <v>22.2</v>
      </c>
      <c r="DW108" s="48">
        <f>DW52+DW80+DW83</f>
        <v>803</v>
      </c>
      <c r="DX108" s="48">
        <f t="shared" ref="DX108:EA108" si="286">DX52+DX80+DX83</f>
        <v>11</v>
      </c>
      <c r="DY108" s="48">
        <f t="shared" si="286"/>
        <v>2</v>
      </c>
      <c r="DZ108" s="48">
        <f t="shared" si="286"/>
        <v>4</v>
      </c>
      <c r="EA108" s="48">
        <f t="shared" si="286"/>
        <v>52</v>
      </c>
      <c r="EB108" s="48">
        <f t="shared" ref="EB108:EE108" si="287">EB52+EB80+EB83</f>
        <v>22</v>
      </c>
      <c r="EC108" s="48">
        <f t="shared" si="287"/>
        <v>29</v>
      </c>
      <c r="ED108" s="48">
        <f t="shared" si="287"/>
        <v>27</v>
      </c>
      <c r="EE108" s="48">
        <f t="shared" si="287"/>
        <v>18</v>
      </c>
      <c r="EF108" s="48">
        <f>EF52+EF80+EF83</f>
        <v>3573</v>
      </c>
      <c r="EG108" s="48">
        <f t="shared" ref="EG108:EI108" si="288">EG52+EG80+EG83</f>
        <v>3600</v>
      </c>
      <c r="EH108" s="48">
        <f t="shared" si="288"/>
        <v>3427</v>
      </c>
      <c r="EI108" s="48">
        <f t="shared" si="288"/>
        <v>3666</v>
      </c>
      <c r="EJ108" s="48">
        <f t="shared" ref="EJ108:EN108" si="289">EJ52+EJ80+EJ83</f>
        <v>711</v>
      </c>
      <c r="EK108" s="48">
        <f t="shared" si="289"/>
        <v>2</v>
      </c>
      <c r="EL108" s="48">
        <f t="shared" si="289"/>
        <v>1</v>
      </c>
      <c r="EM108" s="48">
        <f t="shared" si="289"/>
        <v>0</v>
      </c>
      <c r="EN108" s="48">
        <f t="shared" si="289"/>
        <v>3</v>
      </c>
      <c r="EO108" s="39">
        <v>1023.0347453866086</v>
      </c>
      <c r="EP108" s="39">
        <v>1013.4992469137541</v>
      </c>
      <c r="EQ108" s="39">
        <v>952.79137010676163</v>
      </c>
      <c r="ER108" s="39">
        <v>1034.0304906426729</v>
      </c>
      <c r="ES108" s="39">
        <v>782.91499999999996</v>
      </c>
      <c r="ET108" s="39">
        <v>742.48900000000003</v>
      </c>
      <c r="EU108" s="39">
        <v>678.87099999999998</v>
      </c>
      <c r="EV108" s="39">
        <v>695.55799999999999</v>
      </c>
      <c r="EW108" s="39">
        <v>988.51199999999994</v>
      </c>
      <c r="EX108" s="39">
        <v>940.995</v>
      </c>
      <c r="EY108" s="39">
        <v>815.13</v>
      </c>
      <c r="EZ108" s="39">
        <v>812.70100000000002</v>
      </c>
      <c r="FA108" s="39">
        <v>630.16800000000001</v>
      </c>
      <c r="FB108" s="39">
        <v>584.82500000000005</v>
      </c>
      <c r="FC108" s="39">
        <v>563.65</v>
      </c>
      <c r="FD108" s="39">
        <v>587.92999999999995</v>
      </c>
      <c r="FE108" s="48">
        <f t="shared" ref="FE108:FH108" si="290">FE52+FE80+FE83</f>
        <v>809</v>
      </c>
      <c r="FF108" s="48">
        <f t="shared" si="290"/>
        <v>831</v>
      </c>
      <c r="FG108" s="48">
        <f t="shared" si="290"/>
        <v>830</v>
      </c>
      <c r="FH108" s="48">
        <f t="shared" si="290"/>
        <v>832</v>
      </c>
      <c r="FI108" s="39">
        <v>182.24700000000001</v>
      </c>
      <c r="FJ108" s="39">
        <v>181.02</v>
      </c>
      <c r="FK108" s="39">
        <v>169.00200000000001</v>
      </c>
      <c r="FL108" s="39">
        <v>159.26499999999999</v>
      </c>
      <c r="FM108" s="48">
        <f t="shared" ref="FM108:FP108" si="291">FM52+FM80+FM83</f>
        <v>907</v>
      </c>
      <c r="FN108" s="48">
        <f t="shared" si="291"/>
        <v>887</v>
      </c>
      <c r="FO108" s="48">
        <f t="shared" si="291"/>
        <v>721</v>
      </c>
      <c r="FP108" s="48">
        <f t="shared" si="291"/>
        <v>738</v>
      </c>
      <c r="FQ108" s="39">
        <v>193.97399999999999</v>
      </c>
      <c r="FR108" s="39">
        <v>176.114</v>
      </c>
      <c r="FS108" s="39">
        <v>137.00200000000001</v>
      </c>
      <c r="FT108" s="39">
        <v>135.34399999999999</v>
      </c>
      <c r="FU108" s="48">
        <f t="shared" ref="FU108:FX108" si="292">FU52+FU80+FU83</f>
        <v>248</v>
      </c>
      <c r="FV108" s="48">
        <f t="shared" si="292"/>
        <v>242</v>
      </c>
      <c r="FW108" s="48">
        <f t="shared" si="292"/>
        <v>175</v>
      </c>
      <c r="FX108" s="48">
        <f t="shared" si="292"/>
        <v>210</v>
      </c>
      <c r="FY108" s="39">
        <v>51.280999999999999</v>
      </c>
      <c r="FZ108" s="39">
        <v>46.856999999999999</v>
      </c>
      <c r="GA108" s="39">
        <v>32.627000000000002</v>
      </c>
      <c r="GB108" s="39">
        <v>37.844000000000001</v>
      </c>
      <c r="GC108" s="48">
        <f t="shared" ref="GC108:GF108" si="293">GC52+GC80+GC83</f>
        <v>167</v>
      </c>
      <c r="GD108" s="48">
        <f t="shared" si="293"/>
        <v>173</v>
      </c>
      <c r="GE108" s="48">
        <f t="shared" si="293"/>
        <v>175</v>
      </c>
      <c r="GF108" s="48">
        <f t="shared" si="293"/>
        <v>223</v>
      </c>
      <c r="GG108" s="182">
        <v>44.698999999999998</v>
      </c>
      <c r="GH108" s="182">
        <v>42.768999999999998</v>
      </c>
      <c r="GI108" s="182">
        <v>43.500999999999998</v>
      </c>
      <c r="GJ108" s="182">
        <v>50.917999999999999</v>
      </c>
      <c r="GK108" s="182"/>
      <c r="GL108" s="212"/>
      <c r="GM108" s="212"/>
      <c r="GN108" s="212"/>
      <c r="GP108" s="212"/>
      <c r="GQ108" s="212"/>
      <c r="GR108" s="212"/>
      <c r="GS108" s="212"/>
      <c r="GU108" s="212"/>
      <c r="GV108" s="212"/>
      <c r="GW108" s="212"/>
      <c r="GX108" s="212"/>
      <c r="HE108" s="150"/>
      <c r="HF108" s="150"/>
      <c r="HG108" s="150"/>
      <c r="HH108" s="150"/>
      <c r="HI108" s="150"/>
      <c r="HJ108" s="212"/>
      <c r="HK108" s="212"/>
      <c r="HL108" s="227"/>
      <c r="HV108" s="228"/>
    </row>
    <row r="109" spans="1:230" s="128" customFormat="1" x14ac:dyDescent="0.2">
      <c r="B109" s="133"/>
      <c r="C109" s="229"/>
      <c r="D109" s="229"/>
      <c r="E109" s="229"/>
      <c r="F109" s="229"/>
      <c r="G109" s="229"/>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07"/>
      <c r="AY109" s="107"/>
      <c r="AZ109" s="107"/>
      <c r="BA109" s="107"/>
      <c r="BB109" s="107"/>
      <c r="BC109" s="107"/>
      <c r="BD109" s="107"/>
      <c r="BE109" s="107"/>
      <c r="BF109" s="107"/>
      <c r="BG109" s="107"/>
      <c r="BH109" s="107"/>
      <c r="BI109" s="107"/>
      <c r="BJ109" s="107"/>
      <c r="BK109" s="107"/>
      <c r="BL109" s="107"/>
      <c r="BM109" s="107"/>
      <c r="BN109" s="107"/>
      <c r="BO109" s="107"/>
      <c r="BP109" s="107"/>
      <c r="BQ109" s="107">
        <v>47.002141327623129</v>
      </c>
      <c r="BR109" s="107"/>
      <c r="BS109" s="107"/>
      <c r="BT109" s="107"/>
      <c r="BU109" s="107">
        <v>2.7971092077087794</v>
      </c>
      <c r="BV109" s="107"/>
      <c r="BW109" s="107"/>
      <c r="BX109" s="107"/>
      <c r="BY109" s="107">
        <v>15.430942184154176</v>
      </c>
      <c r="BZ109" s="107"/>
      <c r="CA109" s="107"/>
      <c r="CB109" s="107"/>
      <c r="CC109" s="107"/>
      <c r="CD109" s="107"/>
      <c r="CE109" s="107"/>
      <c r="CF109" s="107"/>
      <c r="CG109" s="107"/>
      <c r="CI109" s="107"/>
      <c r="CJ109" s="107"/>
      <c r="CK109" s="107"/>
      <c r="CL109" s="107"/>
      <c r="CM109" s="107"/>
      <c r="CN109" s="107"/>
      <c r="CO109" s="107"/>
      <c r="CP109" s="107"/>
      <c r="CQ109" s="107"/>
      <c r="CR109" s="107"/>
      <c r="CS109" s="107"/>
      <c r="CT109" s="107"/>
      <c r="CU109" s="107"/>
      <c r="CV109" s="107"/>
      <c r="CW109" s="107"/>
      <c r="CX109" s="107"/>
      <c r="CY109" s="107"/>
      <c r="CZ109" s="107"/>
      <c r="DA109" s="107"/>
      <c r="DB109" s="107"/>
      <c r="DC109" s="107"/>
      <c r="DD109" s="107"/>
      <c r="DE109" s="107"/>
      <c r="DF109" s="107"/>
      <c r="DG109" s="107"/>
      <c r="DH109" s="107"/>
      <c r="DI109" s="107"/>
      <c r="DJ109" s="107"/>
      <c r="DK109" s="107"/>
      <c r="DL109" s="107"/>
      <c r="DM109" s="107"/>
      <c r="DN109" s="107"/>
      <c r="DO109" s="107"/>
      <c r="DP109" s="107"/>
      <c r="DQ109" s="107"/>
      <c r="DR109" s="107"/>
      <c r="DS109" s="107"/>
      <c r="DT109" s="107"/>
      <c r="DU109" s="107"/>
      <c r="DV109" s="107"/>
      <c r="DW109" s="48">
        <f>DW52+DW80+DW83</f>
        <v>803</v>
      </c>
      <c r="DX109" s="48">
        <f t="shared" ref="DX109:EA109" si="294">DX52+DX80+DX83</f>
        <v>11</v>
      </c>
      <c r="DY109" s="48">
        <f t="shared" si="294"/>
        <v>2</v>
      </c>
      <c r="DZ109" s="48">
        <f t="shared" si="294"/>
        <v>4</v>
      </c>
      <c r="EA109" s="48">
        <f t="shared" si="294"/>
        <v>52</v>
      </c>
      <c r="EB109" s="107"/>
      <c r="EC109" s="107"/>
      <c r="ED109" s="107"/>
      <c r="EE109" s="107"/>
      <c r="EF109" s="107"/>
      <c r="EG109" s="107"/>
      <c r="EH109" s="107"/>
      <c r="EI109" s="107"/>
      <c r="EJ109" s="107"/>
      <c r="EK109" s="107"/>
      <c r="EL109" s="107"/>
      <c r="EM109" s="107"/>
      <c r="EN109" s="107"/>
      <c r="EO109" s="107"/>
      <c r="EP109" s="107"/>
      <c r="EQ109" s="107"/>
      <c r="ER109" s="107"/>
      <c r="ES109" s="107"/>
      <c r="ET109" s="107"/>
      <c r="EU109" s="107"/>
      <c r="EV109" s="107"/>
      <c r="EW109" s="107"/>
      <c r="EX109" s="107"/>
      <c r="EY109" s="107"/>
      <c r="EZ109" s="107"/>
      <c r="FA109" s="107"/>
      <c r="FB109" s="107"/>
      <c r="FC109" s="107"/>
      <c r="FD109" s="107"/>
      <c r="FE109" s="107"/>
      <c r="FF109" s="107"/>
      <c r="FG109" s="107"/>
      <c r="FH109" s="107"/>
      <c r="FI109" s="107"/>
      <c r="FJ109" s="107"/>
      <c r="FK109" s="107"/>
      <c r="FL109" s="107"/>
      <c r="FM109" s="107"/>
      <c r="FN109" s="107"/>
      <c r="FO109" s="107"/>
      <c r="FP109" s="107"/>
      <c r="FQ109" s="107"/>
      <c r="FR109" s="107"/>
      <c r="FS109" s="107"/>
      <c r="FT109" s="107"/>
      <c r="FU109" s="107"/>
      <c r="FV109" s="107"/>
      <c r="FW109" s="107"/>
      <c r="FX109" s="107"/>
      <c r="FY109" s="107"/>
      <c r="FZ109" s="107"/>
      <c r="GA109" s="107"/>
      <c r="GB109" s="107"/>
      <c r="GC109" s="211"/>
      <c r="GD109" s="211"/>
      <c r="GE109" s="211"/>
      <c r="GF109" s="211"/>
      <c r="GG109" s="211"/>
      <c r="GH109" s="211"/>
      <c r="GI109" s="211"/>
      <c r="GJ109" s="211"/>
      <c r="GK109" s="211"/>
      <c r="GL109" s="211"/>
      <c r="GM109" s="211"/>
      <c r="GN109" s="211"/>
      <c r="GO109" s="211"/>
      <c r="GP109" s="211"/>
      <c r="GQ109" s="211"/>
      <c r="GR109" s="211"/>
      <c r="GS109" s="211"/>
      <c r="GT109" s="211"/>
      <c r="GU109" s="211"/>
      <c r="GV109" s="211"/>
      <c r="GW109" s="211"/>
      <c r="GX109" s="211"/>
      <c r="GY109" s="211"/>
      <c r="GZ109" s="211"/>
      <c r="HA109" s="211"/>
      <c r="HB109" s="211"/>
      <c r="HC109" s="211"/>
      <c r="HD109" s="211"/>
      <c r="HE109" s="211"/>
      <c r="HF109" s="211"/>
      <c r="HG109" s="211"/>
      <c r="HH109" s="211"/>
      <c r="HI109" s="211"/>
      <c r="HJ109" s="211"/>
      <c r="HK109" s="211"/>
      <c r="HL109" s="211"/>
      <c r="HM109" s="211"/>
      <c r="HN109" s="211"/>
      <c r="HO109" s="211"/>
      <c r="HP109" s="211"/>
      <c r="HQ109" s="211"/>
      <c r="HR109" s="211"/>
      <c r="HS109" s="211"/>
      <c r="HT109" s="211"/>
      <c r="HU109" s="211"/>
      <c r="HV109" s="228"/>
    </row>
    <row r="110" spans="1:230" s="128" customFormat="1" x14ac:dyDescent="0.2">
      <c r="C110" s="229"/>
      <c r="D110" s="229"/>
      <c r="E110" s="229"/>
      <c r="F110" s="229"/>
      <c r="G110" s="229"/>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07"/>
      <c r="AY110" s="107"/>
      <c r="AZ110" s="107"/>
      <c r="BA110" s="107"/>
      <c r="BB110" s="107"/>
      <c r="BC110" s="107"/>
      <c r="BD110" s="107"/>
      <c r="BE110" s="107"/>
      <c r="BF110" s="107"/>
      <c r="BG110" s="107"/>
      <c r="BH110" s="107"/>
      <c r="BI110" s="107"/>
      <c r="BJ110" s="107"/>
      <c r="BK110" s="107"/>
      <c r="BL110" s="107"/>
      <c r="BM110" s="107"/>
      <c r="BN110" s="107"/>
      <c r="BO110" s="107"/>
      <c r="BP110" s="107"/>
      <c r="BQ110" s="107">
        <v>46.190267426567296</v>
      </c>
      <c r="BR110" s="107"/>
      <c r="BS110" s="107"/>
      <c r="BT110" s="107"/>
      <c r="BU110" s="107">
        <v>1.7097764138535729</v>
      </c>
      <c r="BV110" s="107"/>
      <c r="BW110" s="107"/>
      <c r="BX110" s="107"/>
      <c r="BY110" s="107">
        <v>16.019289785181936</v>
      </c>
      <c r="BZ110" s="107"/>
      <c r="CA110" s="107"/>
      <c r="CB110" s="107"/>
      <c r="CC110" s="107"/>
      <c r="CD110" s="107"/>
      <c r="CE110" s="107"/>
      <c r="CF110" s="107"/>
      <c r="CG110" s="107"/>
      <c r="CI110" s="107"/>
      <c r="CJ110" s="107"/>
      <c r="CK110" s="107"/>
      <c r="CL110" s="107"/>
      <c r="CM110" s="107"/>
      <c r="CN110" s="107"/>
      <c r="CO110" s="107"/>
      <c r="CP110" s="107"/>
      <c r="CQ110" s="107"/>
      <c r="CR110" s="107"/>
      <c r="CS110" s="107"/>
      <c r="CT110" s="107"/>
      <c r="CU110" s="107"/>
      <c r="CV110" s="107"/>
      <c r="CW110" s="107"/>
      <c r="CX110" s="107"/>
      <c r="CY110" s="107"/>
      <c r="CZ110" s="107"/>
      <c r="DA110" s="107"/>
      <c r="DB110" s="107"/>
      <c r="DC110" s="107"/>
      <c r="DD110" s="107"/>
      <c r="DE110" s="107"/>
      <c r="DF110" s="107"/>
      <c r="DG110" s="107"/>
      <c r="DH110" s="107"/>
      <c r="DI110" s="107"/>
      <c r="DJ110" s="107"/>
      <c r="DK110" s="107"/>
      <c r="DL110" s="107"/>
      <c r="DM110" s="107"/>
      <c r="DN110" s="107"/>
      <c r="DO110" s="107"/>
      <c r="DP110" s="107"/>
      <c r="DQ110" s="107"/>
      <c r="DR110" s="107"/>
      <c r="DS110" s="107"/>
      <c r="DT110" s="107"/>
      <c r="DU110" s="107"/>
      <c r="DV110" s="107"/>
      <c r="DW110" s="107"/>
      <c r="DX110" s="107"/>
      <c r="DY110" s="107"/>
      <c r="DZ110" s="107"/>
      <c r="EA110" s="107"/>
      <c r="EB110" s="107"/>
      <c r="EC110" s="107"/>
      <c r="ED110" s="107"/>
      <c r="EE110" s="107"/>
      <c r="EF110" s="107"/>
      <c r="EG110" s="107"/>
      <c r="EH110" s="107"/>
      <c r="EI110" s="107"/>
      <c r="EJ110" s="36"/>
      <c r="EK110" s="107"/>
      <c r="EL110" s="107"/>
      <c r="EM110" s="107"/>
      <c r="EN110" s="107"/>
      <c r="EO110" s="107"/>
      <c r="EP110" s="107"/>
      <c r="EQ110" s="107"/>
      <c r="ER110" s="107"/>
      <c r="ES110" s="107"/>
      <c r="ET110" s="107"/>
      <c r="EU110" s="107"/>
      <c r="EV110" s="107"/>
      <c r="EW110" s="107"/>
      <c r="EX110" s="107"/>
      <c r="EY110" s="107"/>
      <c r="EZ110" s="107"/>
      <c r="FA110" s="107"/>
      <c r="FB110" s="107"/>
      <c r="FC110" s="107"/>
      <c r="FD110" s="107"/>
      <c r="FE110" s="107"/>
      <c r="FF110" s="107"/>
      <c r="FG110" s="107"/>
      <c r="FH110" s="107"/>
      <c r="FI110" s="107"/>
      <c r="FJ110" s="107"/>
      <c r="FK110" s="107"/>
      <c r="FL110" s="107"/>
      <c r="FM110" s="107"/>
      <c r="FN110" s="107"/>
      <c r="FO110" s="107"/>
      <c r="FP110" s="107"/>
      <c r="FQ110" s="107"/>
      <c r="FR110" s="107"/>
      <c r="FS110" s="107"/>
      <c r="FT110" s="107"/>
      <c r="FU110" s="107"/>
      <c r="FV110" s="107"/>
      <c r="FW110" s="107"/>
      <c r="FX110" s="107"/>
      <c r="FY110" s="107"/>
      <c r="FZ110" s="107"/>
      <c r="GA110" s="107"/>
      <c r="GB110" s="107"/>
      <c r="GC110" s="211"/>
      <c r="GD110" s="211"/>
      <c r="GE110" s="211"/>
      <c r="GF110" s="211"/>
      <c r="GG110" s="211"/>
      <c r="GH110" s="211"/>
      <c r="GI110" s="211"/>
      <c r="GJ110" s="211"/>
      <c r="GK110" s="211"/>
      <c r="GL110" s="211"/>
      <c r="GM110" s="211"/>
      <c r="GN110" s="211"/>
      <c r="GO110" s="211"/>
      <c r="GP110" s="211"/>
      <c r="GQ110" s="211"/>
      <c r="GR110" s="211"/>
      <c r="GS110" s="211"/>
      <c r="GT110" s="211"/>
      <c r="GU110" s="211"/>
      <c r="GV110" s="211"/>
      <c r="GW110" s="211"/>
      <c r="GX110" s="211"/>
      <c r="GY110" s="211"/>
      <c r="GZ110" s="211"/>
      <c r="HA110" s="211"/>
      <c r="HB110" s="211"/>
      <c r="HC110" s="211"/>
      <c r="HD110" s="211"/>
      <c r="HE110" s="211"/>
      <c r="HF110" s="211"/>
      <c r="HG110" s="211"/>
      <c r="HH110" s="211"/>
      <c r="HI110" s="211"/>
      <c r="HJ110" s="211"/>
      <c r="HK110" s="211"/>
      <c r="HL110" s="211"/>
      <c r="HM110" s="211"/>
      <c r="HN110" s="211"/>
      <c r="HO110" s="211"/>
      <c r="HP110" s="211"/>
      <c r="HQ110" s="211"/>
      <c r="HR110" s="211"/>
      <c r="HS110" s="211"/>
      <c r="HT110" s="211"/>
      <c r="HU110" s="211"/>
    </row>
    <row r="111" spans="1:230" s="128" customFormat="1" x14ac:dyDescent="0.2">
      <c r="C111" s="215"/>
      <c r="D111" s="215"/>
      <c r="E111" s="215"/>
      <c r="F111" s="215"/>
      <c r="G111" s="21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107"/>
      <c r="DX111" s="107"/>
      <c r="DY111" s="107"/>
      <c r="DZ111" s="107"/>
      <c r="EA111" s="107"/>
      <c r="EB111" s="36"/>
      <c r="EC111" s="36"/>
      <c r="ED111" s="36"/>
      <c r="EE111" s="36"/>
      <c r="EF111" s="36"/>
      <c r="EG111" s="36"/>
      <c r="EH111" s="36"/>
      <c r="EI111" s="36"/>
      <c r="EJ111" s="38"/>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HJ111" s="227"/>
      <c r="HK111" s="227"/>
      <c r="HL111" s="227"/>
      <c r="HM111" s="227"/>
    </row>
    <row r="112" spans="1:230" s="128" customFormat="1" x14ac:dyDescent="0.2">
      <c r="C112" s="230">
        <v>48465</v>
      </c>
      <c r="D112" s="230">
        <v>48566</v>
      </c>
      <c r="E112" s="231">
        <v>50074</v>
      </c>
      <c r="F112" s="231">
        <v>50074</v>
      </c>
      <c r="G112" s="231"/>
      <c r="H112" s="45">
        <v>20228</v>
      </c>
      <c r="I112" s="45">
        <v>20252</v>
      </c>
      <c r="J112" s="45">
        <v>20248</v>
      </c>
      <c r="K112" s="45">
        <v>20327</v>
      </c>
      <c r="L112" s="44">
        <v>20572</v>
      </c>
      <c r="M112" s="38">
        <v>29.442702208284334</v>
      </c>
      <c r="N112" s="38">
        <v>29.320997852304643</v>
      </c>
      <c r="O112" s="39">
        <v>28.076825073257741</v>
      </c>
      <c r="P112" s="39">
        <v>28.076825073257741</v>
      </c>
      <c r="Q112" s="39"/>
      <c r="R112" s="42">
        <v>28.941776455588609</v>
      </c>
      <c r="S112" s="42">
        <v>28.877564353848165</v>
      </c>
      <c r="T112" s="42">
        <v>31.148190979679498</v>
      </c>
      <c r="U112" s="38">
        <v>31.414829914638808</v>
      </c>
      <c r="V112" s="38">
        <v>31.414829914638808</v>
      </c>
      <c r="W112" s="42">
        <v>58.320266562132495</v>
      </c>
      <c r="X112" s="42">
        <v>60.469188831984141</v>
      </c>
      <c r="Y112" s="38">
        <v>59.491654987896545</v>
      </c>
      <c r="Z112" s="38">
        <v>59.491654987896545</v>
      </c>
      <c r="AA112" s="38"/>
      <c r="AB112" s="42">
        <v>4.004347978540622</v>
      </c>
      <c r="AC112" s="42">
        <v>4.5796521258972946</v>
      </c>
      <c r="AD112" s="42">
        <v>6.1145720476706389</v>
      </c>
      <c r="AE112" s="38">
        <v>5.5395268320830926</v>
      </c>
      <c r="AF112" s="38"/>
      <c r="AG112" s="45">
        <v>920.91666666666663</v>
      </c>
      <c r="AH112" s="45">
        <v>969.75</v>
      </c>
      <c r="AI112" s="45">
        <v>1244.5</v>
      </c>
      <c r="AJ112" s="42">
        <v>1484.6666666666665</v>
      </c>
      <c r="AK112" s="42"/>
      <c r="AL112" s="45">
        <v>385</v>
      </c>
      <c r="AM112" s="45">
        <v>298</v>
      </c>
      <c r="AN112" s="45">
        <v>591</v>
      </c>
      <c r="AO112" s="45">
        <v>0</v>
      </c>
      <c r="AP112" s="45"/>
      <c r="AQ112" s="45">
        <v>1529</v>
      </c>
      <c r="AR112" s="45">
        <v>46547</v>
      </c>
      <c r="AS112" s="45">
        <v>676</v>
      </c>
      <c r="AT112" s="45">
        <v>234</v>
      </c>
      <c r="AU112" s="45">
        <v>849</v>
      </c>
      <c r="AV112" s="45">
        <v>698</v>
      </c>
      <c r="AW112" s="45">
        <v>2210</v>
      </c>
      <c r="AX112" s="46">
        <v>32872.221537450183</v>
      </c>
      <c r="AY112" s="46">
        <v>34029.727005287088</v>
      </c>
      <c r="AZ112" s="46">
        <v>36244.283324037926</v>
      </c>
      <c r="BA112" s="46"/>
      <c r="BB112" s="36"/>
      <c r="BC112" s="36"/>
      <c r="BD112" s="36"/>
      <c r="BE112" s="36"/>
      <c r="BF112" s="46"/>
      <c r="BG112" s="38"/>
      <c r="BH112" s="38"/>
      <c r="BI112" s="38"/>
      <c r="BJ112" s="38"/>
      <c r="BK112" s="38">
        <v>10.49499649960878</v>
      </c>
      <c r="BL112" s="38">
        <v>11.156986879530232</v>
      </c>
      <c r="BM112" s="38">
        <v>11.666962857650613</v>
      </c>
      <c r="BN112" s="38"/>
      <c r="BO112" s="38">
        <v>11.9919443427316</v>
      </c>
      <c r="BP112" s="38">
        <v>13.400802652242191</v>
      </c>
      <c r="BQ112" s="45">
        <v>8068</v>
      </c>
      <c r="BR112" s="45"/>
      <c r="BS112" s="45">
        <v>7893</v>
      </c>
      <c r="BT112" s="44">
        <v>7878</v>
      </c>
      <c r="BU112" s="38">
        <v>35.138820029747151</v>
      </c>
      <c r="BV112" s="38"/>
      <c r="BW112" s="38">
        <v>38.743190168503737</v>
      </c>
      <c r="BX112" s="38">
        <v>39.832444782939831</v>
      </c>
      <c r="BY112" s="38">
        <v>6.3460585027268221</v>
      </c>
      <c r="BZ112" s="38"/>
      <c r="CA112" s="38"/>
      <c r="CB112" s="38"/>
      <c r="CC112" s="38"/>
      <c r="CD112" s="38"/>
      <c r="CE112" s="38">
        <v>17.022086824067021</v>
      </c>
      <c r="CF112" s="38">
        <v>86.334610472541513</v>
      </c>
      <c r="CG112" s="38"/>
      <c r="CI112" s="42"/>
      <c r="CJ112" s="38"/>
      <c r="CK112" s="38"/>
      <c r="CL112" s="45"/>
      <c r="CM112" s="45"/>
      <c r="CN112" s="45"/>
      <c r="CO112" s="45"/>
      <c r="CP112" s="44"/>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45"/>
      <c r="DV112" s="45"/>
      <c r="DW112" s="36"/>
      <c r="DX112" s="36"/>
      <c r="DY112" s="36"/>
      <c r="DZ112" s="36"/>
      <c r="EA112" s="36"/>
      <c r="EB112" s="38"/>
      <c r="EC112" s="38"/>
      <c r="ED112" s="38"/>
      <c r="EE112" s="38"/>
      <c r="EF112" s="38"/>
      <c r="EG112" s="38"/>
      <c r="EH112" s="38"/>
      <c r="EI112" s="38"/>
      <c r="EJ112" s="44"/>
      <c r="EK112" s="38"/>
      <c r="EL112" s="45"/>
      <c r="EM112" s="45"/>
      <c r="EN112" s="45"/>
      <c r="EO112" s="45"/>
      <c r="EP112" s="44"/>
      <c r="EQ112" s="42"/>
      <c r="ER112" s="42"/>
      <c r="ES112" s="42"/>
      <c r="ET112" s="42"/>
      <c r="EU112" s="38"/>
      <c r="EV112" s="42"/>
      <c r="EW112" s="42"/>
      <c r="EX112" s="42"/>
      <c r="EY112" s="42"/>
      <c r="EZ112" s="38"/>
      <c r="FA112" s="45"/>
      <c r="FB112" s="45"/>
      <c r="FC112" s="45"/>
      <c r="FD112" s="45"/>
      <c r="FE112" s="44"/>
      <c r="FF112" s="45"/>
      <c r="FG112" s="45"/>
      <c r="FH112" s="45"/>
      <c r="FI112" s="45"/>
      <c r="FJ112" s="44"/>
      <c r="FK112" s="45"/>
      <c r="FL112" s="45"/>
      <c r="FM112" s="45"/>
      <c r="FN112" s="45"/>
      <c r="FO112" s="44"/>
      <c r="FP112" s="45"/>
      <c r="FQ112" s="45"/>
      <c r="FR112" s="45"/>
      <c r="FS112" s="45"/>
      <c r="FT112" s="44"/>
      <c r="FU112" s="42"/>
      <c r="FV112" s="42"/>
      <c r="FW112" s="42"/>
      <c r="FX112" s="42"/>
      <c r="FY112" s="39"/>
      <c r="FZ112" s="42"/>
      <c r="GA112" s="42"/>
      <c r="GB112" s="42"/>
      <c r="GC112" s="212"/>
      <c r="GD112" s="182"/>
      <c r="GE112" s="212"/>
      <c r="GF112" s="212"/>
      <c r="GG112" s="212"/>
      <c r="GH112" s="212"/>
      <c r="GI112" s="182"/>
      <c r="GJ112" s="212"/>
      <c r="GK112" s="212"/>
      <c r="GL112" s="212">
        <v>44.901312009999998</v>
      </c>
      <c r="GM112" s="212">
        <v>49.84251733</v>
      </c>
      <c r="GN112" s="212">
        <v>34.745445359999998</v>
      </c>
      <c r="GO112" s="182" t="s">
        <v>32</v>
      </c>
      <c r="GP112" s="212">
        <v>773.53033072999995</v>
      </c>
      <c r="GQ112" s="212">
        <v>801.86367928000004</v>
      </c>
      <c r="GR112" s="212">
        <v>790.25701804000005</v>
      </c>
      <c r="GS112" s="212">
        <v>877.45789361000004</v>
      </c>
      <c r="GT112" s="227">
        <v>753.96155853309665</v>
      </c>
      <c r="GU112" s="212">
        <v>544.72222947</v>
      </c>
      <c r="GV112" s="212">
        <v>599.22678859999996</v>
      </c>
      <c r="GW112" s="212">
        <v>631.15807219999897</v>
      </c>
      <c r="GX112" s="212">
        <v>535.34951976000002</v>
      </c>
      <c r="GY112" s="182">
        <v>515.267057257754</v>
      </c>
      <c r="GZ112" s="232">
        <v>494</v>
      </c>
      <c r="HA112" s="232">
        <v>3</v>
      </c>
      <c r="HB112" s="232">
        <v>0</v>
      </c>
      <c r="HC112" s="232">
        <v>6</v>
      </c>
      <c r="HD112" s="232">
        <v>2</v>
      </c>
      <c r="HE112" s="232">
        <v>489</v>
      </c>
      <c r="HF112" s="232">
        <v>1</v>
      </c>
      <c r="HG112" s="232">
        <v>1</v>
      </c>
      <c r="HH112" s="232">
        <v>0</v>
      </c>
      <c r="HI112" s="232">
        <v>1</v>
      </c>
      <c r="HJ112" s="227">
        <v>25.201778949102291</v>
      </c>
      <c r="HK112" s="227">
        <v>25.139664804469273</v>
      </c>
      <c r="HL112" s="227">
        <v>23.17320703653586</v>
      </c>
      <c r="HM112" s="150">
        <v>25</v>
      </c>
      <c r="HN112" s="150">
        <v>36</v>
      </c>
      <c r="HO112" s="150">
        <v>25</v>
      </c>
      <c r="HP112" s="150">
        <v>29</v>
      </c>
      <c r="HQ112" s="233">
        <v>36</v>
      </c>
      <c r="HR112" s="150">
        <v>32</v>
      </c>
      <c r="HS112" s="150">
        <v>52</v>
      </c>
      <c r="HT112" s="150">
        <v>56</v>
      </c>
      <c r="HU112" s="150">
        <v>66</v>
      </c>
      <c r="HV112" s="233">
        <v>53</v>
      </c>
    </row>
    <row r="113" spans="3:231" s="128" customFormat="1" x14ac:dyDescent="0.2">
      <c r="C113" s="231">
        <v>31354</v>
      </c>
      <c r="D113" s="231">
        <v>31182</v>
      </c>
      <c r="E113" s="231">
        <v>31789</v>
      </c>
      <c r="F113" s="231">
        <v>31789</v>
      </c>
      <c r="G113" s="231"/>
      <c r="H113" s="44">
        <v>13388</v>
      </c>
      <c r="I113" s="44">
        <v>13391</v>
      </c>
      <c r="J113" s="44">
        <v>13355</v>
      </c>
      <c r="K113" s="44">
        <v>13281</v>
      </c>
      <c r="L113" s="44">
        <v>13144</v>
      </c>
      <c r="M113" s="44">
        <v>30.394265232974909</v>
      </c>
      <c r="N113" s="44">
        <v>31.648235913638757</v>
      </c>
      <c r="O113" s="44">
        <v>32.16431827600497</v>
      </c>
      <c r="P113" s="44">
        <v>32.16431827600497</v>
      </c>
      <c r="Q113" s="44"/>
      <c r="R113" s="44">
        <v>29.854295254477385</v>
      </c>
      <c r="S113" s="44">
        <v>30.148489503328214</v>
      </c>
      <c r="T113" s="44">
        <v>32.553975776724592</v>
      </c>
      <c r="U113" s="44">
        <v>32.511396601740572</v>
      </c>
      <c r="V113" s="44">
        <v>32.511396601740572</v>
      </c>
      <c r="W113" s="44">
        <v>60.542754736303124</v>
      </c>
      <c r="X113" s="44">
        <v>64.202211690363356</v>
      </c>
      <c r="Y113" s="44">
        <v>64.675714877745548</v>
      </c>
      <c r="Z113" s="44">
        <v>64.675714877745548</v>
      </c>
      <c r="AA113" s="44"/>
      <c r="AB113" s="44">
        <v>5.0597538498127115</v>
      </c>
      <c r="AC113" s="44">
        <v>5.5476360180565454</v>
      </c>
      <c r="AD113" s="44">
        <v>7.591122443066582</v>
      </c>
      <c r="AE113" s="44">
        <v>7.1201157742402312</v>
      </c>
      <c r="AF113" s="44"/>
      <c r="AG113" s="44">
        <v>638.91666666666663</v>
      </c>
      <c r="AH113" s="44">
        <v>662.83333333333326</v>
      </c>
      <c r="AI113" s="44">
        <v>836</v>
      </c>
      <c r="AJ113" s="44">
        <v>981.83333333333337</v>
      </c>
      <c r="AK113" s="44"/>
      <c r="AL113" s="44">
        <v>93</v>
      </c>
      <c r="AM113" s="44">
        <v>721</v>
      </c>
      <c r="AN113" s="44">
        <v>438</v>
      </c>
      <c r="AO113" s="44">
        <v>0</v>
      </c>
      <c r="AP113" s="44"/>
      <c r="AQ113" s="44">
        <v>1260</v>
      </c>
      <c r="AR113" s="44">
        <v>29319</v>
      </c>
      <c r="AS113" s="44">
        <v>119</v>
      </c>
      <c r="AT113" s="44">
        <v>887</v>
      </c>
      <c r="AU113" s="44">
        <v>569</v>
      </c>
      <c r="AV113" s="44">
        <v>480</v>
      </c>
      <c r="AW113" s="44">
        <v>1381</v>
      </c>
      <c r="AX113" s="44">
        <v>30884.149176922838</v>
      </c>
      <c r="AY113" s="44">
        <v>32138.394251796315</v>
      </c>
      <c r="AZ113" s="44">
        <v>34382.618012226631</v>
      </c>
      <c r="BA113" s="44"/>
      <c r="BB113" s="44"/>
      <c r="BC113" s="44"/>
      <c r="BD113" s="44"/>
      <c r="BE113" s="44"/>
      <c r="BF113" s="44"/>
      <c r="BG113" s="44"/>
      <c r="BH113" s="44"/>
      <c r="BI113" s="44"/>
      <c r="BJ113" s="44"/>
      <c r="BK113" s="44">
        <v>10.124430761336669</v>
      </c>
      <c r="BL113" s="44">
        <v>11.968564802885854</v>
      </c>
      <c r="BM113" s="44">
        <v>13.402462734931952</v>
      </c>
      <c r="BN113" s="44"/>
      <c r="BO113" s="44">
        <v>13.41295991213619</v>
      </c>
      <c r="BP113" s="44">
        <v>14.127130963393682</v>
      </c>
      <c r="BQ113" s="44">
        <v>4261</v>
      </c>
      <c r="BR113" s="44"/>
      <c r="BS113" s="44">
        <v>4159</v>
      </c>
      <c r="BT113" s="44">
        <v>4013</v>
      </c>
      <c r="BU113" s="44">
        <v>35.954001408120156</v>
      </c>
      <c r="BV113" s="44"/>
      <c r="BW113" s="44">
        <v>38.759317143544123</v>
      </c>
      <c r="BX113" s="44">
        <v>38.97333665586843</v>
      </c>
      <c r="BY113" s="44">
        <v>5.6559493076742546</v>
      </c>
      <c r="BZ113" s="44"/>
      <c r="CA113" s="44"/>
      <c r="CB113" s="44"/>
      <c r="CC113" s="44"/>
      <c r="CD113" s="44"/>
      <c r="CE113" s="44">
        <v>15.723897333665587</v>
      </c>
      <c r="CF113" s="44">
        <v>87.387387387387392</v>
      </c>
      <c r="CG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44"/>
      <c r="DN113" s="44"/>
      <c r="DO113" s="44"/>
      <c r="DP113" s="44"/>
      <c r="DQ113" s="44"/>
      <c r="DR113" s="44"/>
      <c r="DS113" s="44"/>
      <c r="DT113" s="44"/>
      <c r="DU113" s="44"/>
      <c r="DV113" s="44"/>
      <c r="DW113" s="45"/>
      <c r="DX113" s="45"/>
      <c r="DY113" s="45"/>
      <c r="DZ113" s="38"/>
      <c r="EA113" s="38"/>
      <c r="EB113" s="44"/>
      <c r="EC113" s="44"/>
      <c r="ED113" s="44"/>
      <c r="EE113" s="44"/>
      <c r="EF113" s="44"/>
      <c r="EG113" s="44"/>
      <c r="EH113" s="44"/>
      <c r="EI113" s="44"/>
      <c r="EJ113" s="45"/>
      <c r="EK113" s="44"/>
      <c r="EL113" s="44"/>
      <c r="EM113" s="44"/>
      <c r="EN113" s="44"/>
      <c r="EO113" s="44"/>
      <c r="EP113" s="44"/>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L113" s="128">
        <v>0</v>
      </c>
      <c r="GM113" s="128">
        <v>0</v>
      </c>
      <c r="GN113" s="128">
        <v>52.433918890000001</v>
      </c>
      <c r="GO113" s="128" t="s">
        <v>32</v>
      </c>
      <c r="GP113" s="128">
        <v>863.72504542000001</v>
      </c>
      <c r="GQ113" s="128">
        <v>894.25823814</v>
      </c>
      <c r="GR113" s="128">
        <v>1010.16800157</v>
      </c>
      <c r="GS113" s="128">
        <v>800.05769886999997</v>
      </c>
      <c r="GT113" s="128">
        <v>930.9671279256313</v>
      </c>
      <c r="GU113" s="128">
        <v>634.00972741999999</v>
      </c>
      <c r="GV113" s="128">
        <v>560.40596574000006</v>
      </c>
      <c r="GW113" s="128">
        <v>613.09862362000001</v>
      </c>
      <c r="GX113" s="128">
        <v>635.38589323999997</v>
      </c>
      <c r="GY113" s="128">
        <v>590.69259954459108</v>
      </c>
      <c r="GZ113" s="128">
        <v>393</v>
      </c>
      <c r="HA113" s="128">
        <v>0</v>
      </c>
      <c r="HB113" s="128">
        <v>3</v>
      </c>
      <c r="HC113" s="128">
        <v>1</v>
      </c>
      <c r="HD113" s="128">
        <v>0</v>
      </c>
      <c r="HE113" s="128">
        <v>381</v>
      </c>
      <c r="HF113" s="128">
        <v>2</v>
      </c>
      <c r="HG113" s="128">
        <v>11</v>
      </c>
      <c r="HH113" s="128">
        <v>2</v>
      </c>
      <c r="HI113" s="128">
        <v>1</v>
      </c>
      <c r="HJ113" s="227">
        <v>32.928942807625653</v>
      </c>
      <c r="HK113" s="227">
        <v>33.695652173913047</v>
      </c>
      <c r="HL113" s="227">
        <v>27.455919395465994</v>
      </c>
      <c r="HM113" s="227">
        <v>17</v>
      </c>
      <c r="HN113" s="128">
        <v>15</v>
      </c>
      <c r="HO113" s="128">
        <v>20</v>
      </c>
      <c r="HP113" s="128">
        <v>15</v>
      </c>
      <c r="HQ113" s="128">
        <v>14</v>
      </c>
      <c r="HR113" s="128">
        <v>26</v>
      </c>
      <c r="HS113" s="128">
        <v>19</v>
      </c>
      <c r="HT113" s="128">
        <v>29</v>
      </c>
      <c r="HU113" s="128">
        <v>25</v>
      </c>
      <c r="HV113" s="128">
        <v>24</v>
      </c>
    </row>
    <row r="114" spans="3:231" s="128" customFormat="1" x14ac:dyDescent="0.2">
      <c r="C114" s="230" t="e">
        <f>B108-C113</f>
        <v>#VALUE!</v>
      </c>
      <c r="D114" s="230">
        <f>C108-D113</f>
        <v>39876</v>
      </c>
      <c r="E114" s="230">
        <f>D108-E113</f>
        <v>39042</v>
      </c>
      <c r="F114" s="230">
        <f>E108-F113</f>
        <v>39118</v>
      </c>
      <c r="G114" s="230"/>
      <c r="H114" s="45">
        <f t="shared" ref="H114:AZ114" si="295">H108-H113</f>
        <v>54077</v>
      </c>
      <c r="I114" s="45">
        <f t="shared" si="295"/>
        <v>-12636</v>
      </c>
      <c r="J114" s="45">
        <f t="shared" si="295"/>
        <v>-13017</v>
      </c>
      <c r="K114" s="45">
        <f t="shared" si="295"/>
        <v>-12864</v>
      </c>
      <c r="L114" s="45">
        <f t="shared" si="295"/>
        <v>-10871</v>
      </c>
      <c r="M114" s="45">
        <f t="shared" si="295"/>
        <v>28437.605734767025</v>
      </c>
      <c r="N114" s="45">
        <f t="shared" si="295"/>
        <v>28441.351764086361</v>
      </c>
      <c r="O114" s="45">
        <f t="shared" si="295"/>
        <v>28506.835681723995</v>
      </c>
      <c r="P114" s="45">
        <f t="shared" ref="P114" si="296">P108-P113</f>
        <v>28594.835681723995</v>
      </c>
      <c r="Q114" s="45"/>
      <c r="R114" s="45">
        <f t="shared" ref="R114:U114" si="297">R108-R113</f>
        <v>0.24570474552261601</v>
      </c>
      <c r="S114" s="45">
        <f t="shared" si="297"/>
        <v>0.55151049667178498</v>
      </c>
      <c r="T114" s="45">
        <f t="shared" si="297"/>
        <v>-1.0628126417194999</v>
      </c>
      <c r="U114" s="45">
        <f t="shared" si="297"/>
        <v>-0.14152177364798746</v>
      </c>
      <c r="V114" s="45">
        <f t="shared" si="295"/>
        <v>0.9914746041659086</v>
      </c>
      <c r="W114" s="45">
        <f>V108-W113</f>
        <v>-27.039883530396644</v>
      </c>
      <c r="X114" s="45">
        <f>W108-X113</f>
        <v>-32.102211690363355</v>
      </c>
      <c r="Y114" s="45">
        <f>X108-Y113</f>
        <v>-32.575714877745547</v>
      </c>
      <c r="Z114" s="45">
        <f>Y108-Z113</f>
        <v>-32.136619846747124</v>
      </c>
      <c r="AA114" s="45"/>
      <c r="AB114" s="45">
        <f t="shared" ref="AB114:AE114" si="298">AB108-AB113</f>
        <v>57.140246150187295</v>
      </c>
      <c r="AC114" s="45">
        <f t="shared" si="298"/>
        <v>57.252363981943454</v>
      </c>
      <c r="AD114" s="45">
        <f t="shared" si="298"/>
        <v>56.439135722936939</v>
      </c>
      <c r="AE114" s="45">
        <f t="shared" si="298"/>
        <v>57.945966601461961</v>
      </c>
      <c r="AF114" s="45"/>
      <c r="AG114" s="45">
        <f t="shared" ref="AG114:AJ114" si="299">AG108-AG113</f>
        <v>-632.47612949374684</v>
      </c>
      <c r="AH114" s="45">
        <f t="shared" si="299"/>
        <v>-657.25063585295777</v>
      </c>
      <c r="AI114" s="45">
        <f t="shared" si="299"/>
        <v>-830.86663446573289</v>
      </c>
      <c r="AJ114" s="45">
        <f t="shared" si="299"/>
        <v>-976.44149571258004</v>
      </c>
      <c r="AK114" s="45"/>
      <c r="AL114" s="45">
        <f t="shared" ref="AL114:AO114" si="300">AL108-AL113</f>
        <v>3345.1666666666665</v>
      </c>
      <c r="AM114" s="45">
        <f t="shared" si="300"/>
        <v>2463.2499999999995</v>
      </c>
      <c r="AN114" s="45">
        <f t="shared" si="300"/>
        <v>2550.666666666667</v>
      </c>
      <c r="AO114" s="45">
        <f t="shared" si="300"/>
        <v>2829.6666666666665</v>
      </c>
      <c r="AP114" s="45"/>
      <c r="AQ114" s="45">
        <f t="shared" si="295"/>
        <v>34795.928945589731</v>
      </c>
      <c r="AR114" s="45">
        <f t="shared" si="295"/>
        <v>8608.1881403598018</v>
      </c>
      <c r="AS114" s="45">
        <f t="shared" si="295"/>
        <v>38299.56943051298</v>
      </c>
      <c r="AT114" s="45">
        <f t="shared" si="295"/>
        <v>37400.113747087482</v>
      </c>
      <c r="AU114" s="45">
        <f t="shared" si="295"/>
        <v>39269.786071187969</v>
      </c>
      <c r="AV114" s="45" t="e">
        <f t="shared" si="295"/>
        <v>#VALUE!</v>
      </c>
      <c r="AW114" s="45" t="e">
        <f t="shared" si="295"/>
        <v>#VALUE!</v>
      </c>
      <c r="AX114" s="45" t="e">
        <f t="shared" si="295"/>
        <v>#VALUE!</v>
      </c>
      <c r="AY114" s="45" t="e">
        <f t="shared" si="295"/>
        <v>#VALUE!</v>
      </c>
      <c r="AZ114" s="45" t="e">
        <f t="shared" si="295"/>
        <v>#VALUE!</v>
      </c>
      <c r="BA114" s="45"/>
      <c r="BB114" s="45"/>
      <c r="BC114" s="45"/>
      <c r="BD114" s="123"/>
      <c r="BE114" s="123"/>
      <c r="BF114" s="45"/>
      <c r="BG114" s="45"/>
      <c r="BH114" s="45"/>
      <c r="BI114" s="45"/>
      <c r="BJ114" s="45"/>
      <c r="BK114" s="45">
        <f t="shared" ref="BK114:BM114" si="301">BK108-BK113</f>
        <v>11615.875569238664</v>
      </c>
      <c r="BL114" s="45">
        <f t="shared" si="301"/>
        <v>11628.031435197114</v>
      </c>
      <c r="BM114" s="45">
        <f t="shared" si="301"/>
        <v>11391.597537265068</v>
      </c>
      <c r="BN114" s="45"/>
      <c r="BO114" s="45">
        <f t="shared" ref="BO114:BQ114" si="302">BO108-BO113</f>
        <v>35.271024261268252</v>
      </c>
      <c r="BP114" s="45">
        <f t="shared" si="302"/>
        <v>32.969088967877795</v>
      </c>
      <c r="BQ114" s="45">
        <f t="shared" si="302"/>
        <v>-4225.6749342352496</v>
      </c>
      <c r="BR114" s="45"/>
      <c r="BS114" s="45">
        <f t="shared" ref="BS114:BU114" si="303">BS108-BS113</f>
        <v>-4157.3571305694131</v>
      </c>
      <c r="BT114" s="45">
        <f t="shared" si="303"/>
        <v>-4011.2731958762888</v>
      </c>
      <c r="BU114" s="45">
        <f t="shared" si="303"/>
        <v>-31.078014936868747</v>
      </c>
      <c r="BV114" s="45"/>
      <c r="BW114" s="45">
        <f t="shared" ref="BW114:BY114" si="304">BW108-BW113</f>
        <v>-21.711321272221227</v>
      </c>
      <c r="BX114" s="45">
        <f t="shared" si="304"/>
        <v>-21.000828064803137</v>
      </c>
      <c r="BY114" s="45">
        <f t="shared" si="304"/>
        <v>8.5210518197214604</v>
      </c>
      <c r="BZ114" s="45"/>
      <c r="CA114" s="45"/>
      <c r="CB114" s="45"/>
      <c r="CC114" s="45"/>
      <c r="CD114" s="45"/>
      <c r="CE114" s="45">
        <f t="shared" ref="CE114" si="305">CE108-CE113</f>
        <v>-11.769682973623963</v>
      </c>
      <c r="CF114" s="45" t="e">
        <f>#REF!-CF113</f>
        <v>#REF!</v>
      </c>
      <c r="CG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4"/>
      <c r="DX114" s="44"/>
      <c r="DY114" s="44"/>
      <c r="DZ114" s="44"/>
      <c r="EA114" s="44"/>
      <c r="EB114" s="45"/>
      <c r="EC114" s="45"/>
      <c r="ED114" s="45"/>
      <c r="EE114" s="45"/>
      <c r="EF114" s="45"/>
      <c r="EG114" s="45"/>
      <c r="EH114" s="45"/>
      <c r="EI114" s="45"/>
      <c r="EJ114" s="42"/>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c r="FG114" s="45"/>
      <c r="FH114" s="45"/>
      <c r="FI114" s="45"/>
      <c r="FJ114" s="45"/>
      <c r="FK114" s="45"/>
      <c r="FL114" s="45"/>
      <c r="FM114" s="45"/>
      <c r="FN114" s="45"/>
      <c r="FO114" s="45"/>
      <c r="FP114" s="45"/>
      <c r="FQ114" s="45"/>
      <c r="FR114" s="45"/>
      <c r="FS114" s="45"/>
      <c r="FT114" s="45"/>
      <c r="FU114" s="45"/>
      <c r="FV114" s="45"/>
      <c r="FW114" s="45"/>
      <c r="FX114" s="45"/>
      <c r="FY114" s="45"/>
      <c r="FZ114" s="45"/>
      <c r="GA114" s="45"/>
      <c r="GB114" s="45"/>
      <c r="GC114" s="150"/>
      <c r="GD114" s="150"/>
      <c r="GE114" s="150"/>
      <c r="GF114" s="150"/>
      <c r="GG114" s="150"/>
      <c r="GH114" s="150"/>
      <c r="GI114" s="150"/>
      <c r="GJ114" s="150"/>
      <c r="GK114" s="150"/>
      <c r="GL114" s="150">
        <f t="shared" ref="GL114:GN114" si="306">GL108-GL113</f>
        <v>0</v>
      </c>
      <c r="GM114" s="150">
        <f t="shared" si="306"/>
        <v>0</v>
      </c>
      <c r="GN114" s="150">
        <f t="shared" si="306"/>
        <v>-52.433918890000001</v>
      </c>
      <c r="GO114" s="150" t="e">
        <f t="shared" ref="GO114:HV114" si="307">GO108-GO113</f>
        <v>#VALUE!</v>
      </c>
      <c r="GP114" s="150">
        <f t="shared" si="307"/>
        <v>-863.72504542000001</v>
      </c>
      <c r="GQ114" s="150">
        <f t="shared" si="307"/>
        <v>-894.25823814</v>
      </c>
      <c r="GR114" s="150">
        <f t="shared" si="307"/>
        <v>-1010.16800157</v>
      </c>
      <c r="GS114" s="150">
        <f t="shared" si="307"/>
        <v>-800.05769886999997</v>
      </c>
      <c r="GT114" s="150">
        <f t="shared" si="307"/>
        <v>-930.9671279256313</v>
      </c>
      <c r="GU114" s="150">
        <f t="shared" si="307"/>
        <v>-634.00972741999999</v>
      </c>
      <c r="GV114" s="150">
        <f t="shared" si="307"/>
        <v>-560.40596574000006</v>
      </c>
      <c r="GW114" s="150">
        <f t="shared" si="307"/>
        <v>-613.09862362000001</v>
      </c>
      <c r="GX114" s="150">
        <f t="shared" si="307"/>
        <v>-635.38589323999997</v>
      </c>
      <c r="GY114" s="150">
        <f t="shared" si="307"/>
        <v>-590.69259954459108</v>
      </c>
      <c r="GZ114" s="150">
        <f t="shared" si="307"/>
        <v>-393</v>
      </c>
      <c r="HA114" s="150">
        <f t="shared" si="307"/>
        <v>0</v>
      </c>
      <c r="HB114" s="150">
        <f t="shared" si="307"/>
        <v>-3</v>
      </c>
      <c r="HC114" s="150">
        <f t="shared" si="307"/>
        <v>-1</v>
      </c>
      <c r="HD114" s="150">
        <f t="shared" si="307"/>
        <v>0</v>
      </c>
      <c r="HE114" s="150">
        <f t="shared" si="307"/>
        <v>-381</v>
      </c>
      <c r="HF114" s="150">
        <f t="shared" si="307"/>
        <v>-2</v>
      </c>
      <c r="HG114" s="150">
        <f t="shared" si="307"/>
        <v>-11</v>
      </c>
      <c r="HH114" s="150">
        <f t="shared" si="307"/>
        <v>-2</v>
      </c>
      <c r="HI114" s="150">
        <f t="shared" si="307"/>
        <v>-1</v>
      </c>
      <c r="HJ114" s="150">
        <f t="shared" si="307"/>
        <v>-32.928942807625653</v>
      </c>
      <c r="HK114" s="150">
        <f t="shared" si="307"/>
        <v>-33.695652173913047</v>
      </c>
      <c r="HL114" s="150">
        <f t="shared" si="307"/>
        <v>-27.455919395465994</v>
      </c>
      <c r="HM114" s="150">
        <f t="shared" si="307"/>
        <v>-17</v>
      </c>
      <c r="HN114" s="150">
        <f t="shared" si="307"/>
        <v>-15</v>
      </c>
      <c r="HO114" s="150">
        <f t="shared" si="307"/>
        <v>-20</v>
      </c>
      <c r="HP114" s="150">
        <f t="shared" si="307"/>
        <v>-15</v>
      </c>
      <c r="HQ114" s="150">
        <f t="shared" si="307"/>
        <v>-14</v>
      </c>
      <c r="HR114" s="150">
        <f t="shared" si="307"/>
        <v>-26</v>
      </c>
      <c r="HS114" s="150">
        <f t="shared" si="307"/>
        <v>-19</v>
      </c>
      <c r="HT114" s="150">
        <f t="shared" si="307"/>
        <v>-29</v>
      </c>
      <c r="HU114" s="150">
        <f t="shared" si="307"/>
        <v>-25</v>
      </c>
      <c r="HV114" s="150">
        <f t="shared" si="307"/>
        <v>-24</v>
      </c>
      <c r="HW114" s="150">
        <f>SUM(GP114:HV114)</f>
        <v>-8624.8494358672287</v>
      </c>
    </row>
    <row r="115" spans="3:231" s="128" customFormat="1" x14ac:dyDescent="0.2">
      <c r="C115" s="234" t="e">
        <f>B103-C112</f>
        <v>#VALUE!</v>
      </c>
      <c r="D115" s="234">
        <f>C103-D112</f>
        <v>9010</v>
      </c>
      <c r="E115" s="234">
        <f>D103-E112</f>
        <v>7236</v>
      </c>
      <c r="F115" s="234">
        <f>E103-F112</f>
        <v>7360</v>
      </c>
      <c r="G115" s="234"/>
      <c r="H115" s="42">
        <f t="shared" ref="H115:AZ115" si="308">H103-H112</f>
        <v>27307</v>
      </c>
      <c r="I115" s="42">
        <f t="shared" si="308"/>
        <v>-17806</v>
      </c>
      <c r="J115" s="42">
        <f t="shared" si="308"/>
        <v>-19943</v>
      </c>
      <c r="K115" s="42">
        <f t="shared" si="308"/>
        <v>-19781</v>
      </c>
      <c r="L115" s="42">
        <f t="shared" si="308"/>
        <v>-14016</v>
      </c>
      <c r="M115" s="42">
        <f t="shared" si="308"/>
        <v>23237.557297791715</v>
      </c>
      <c r="N115" s="42">
        <f t="shared" si="308"/>
        <v>23182.679002147695</v>
      </c>
      <c r="O115" s="42">
        <f t="shared" si="308"/>
        <v>23199.923174926742</v>
      </c>
      <c r="P115" s="42">
        <f t="shared" ref="P115" si="309">P103-P112</f>
        <v>23161.923174926742</v>
      </c>
      <c r="Q115" s="42"/>
      <c r="R115" s="42">
        <f t="shared" ref="R115:U115" si="310">R103-R112</f>
        <v>-0.44177645558860945</v>
      </c>
      <c r="S115" s="42">
        <f t="shared" si="310"/>
        <v>0.32243564615183473</v>
      </c>
      <c r="T115" s="42">
        <f t="shared" si="310"/>
        <v>-1.3888973516495788</v>
      </c>
      <c r="U115" s="42">
        <f t="shared" si="310"/>
        <v>-0.84607582467380382</v>
      </c>
      <c r="V115" s="42">
        <f t="shared" si="308"/>
        <v>-0.46965572845948245</v>
      </c>
      <c r="W115" s="42">
        <f>V103-W112</f>
        <v>-27.375092375953169</v>
      </c>
      <c r="X115" s="42">
        <f>W103-X112</f>
        <v>-29.569188831984142</v>
      </c>
      <c r="Y115" s="42">
        <f>X103-Y112</f>
        <v>-28.291654987896546</v>
      </c>
      <c r="Z115" s="42">
        <f>Y103-Z112</f>
        <v>-27.747096189178816</v>
      </c>
      <c r="AA115" s="42"/>
      <c r="AB115" s="42">
        <f t="shared" ref="AB115:AE115" si="311">AB103-AB112</f>
        <v>55.295652021459375</v>
      </c>
      <c r="AC115" s="42">
        <f t="shared" si="311"/>
        <v>55.820347874102701</v>
      </c>
      <c r="AD115" s="42">
        <f t="shared" si="311"/>
        <v>55.389280379077007</v>
      </c>
      <c r="AE115" s="42">
        <f t="shared" si="311"/>
        <v>57.077481731947984</v>
      </c>
      <c r="AF115" s="42"/>
      <c r="AG115" s="42">
        <f t="shared" ref="AG115:AJ115" si="312">AG103-AG112</f>
        <v>-915.99545312010025</v>
      </c>
      <c r="AH115" s="42">
        <f t="shared" si="312"/>
        <v>-965.29577519742793</v>
      </c>
      <c r="AI115" s="42">
        <f t="shared" si="312"/>
        <v>-1240.4578690276294</v>
      </c>
      <c r="AJ115" s="42">
        <f t="shared" si="312"/>
        <v>-1480.4478156958078</v>
      </c>
      <c r="AK115" s="42"/>
      <c r="AL115" s="42">
        <f t="shared" ref="AL115:AO115" si="313">AL103-AL112</f>
        <v>2644.5</v>
      </c>
      <c r="AM115" s="42">
        <f t="shared" si="313"/>
        <v>2412.25</v>
      </c>
      <c r="AN115" s="42">
        <f t="shared" si="313"/>
        <v>2023.75</v>
      </c>
      <c r="AO115" s="42">
        <f t="shared" si="313"/>
        <v>2521.75</v>
      </c>
      <c r="AP115" s="42"/>
      <c r="AQ115" s="42">
        <f t="shared" si="308"/>
        <v>48541.999878613424</v>
      </c>
      <c r="AR115" s="42">
        <f t="shared" si="308"/>
        <v>2863.3220194499008</v>
      </c>
      <c r="AS115" s="42">
        <f t="shared" si="308"/>
        <v>51727.84674329502</v>
      </c>
      <c r="AT115" s="42">
        <f t="shared" si="308"/>
        <v>52176.465576065093</v>
      </c>
      <c r="AU115" s="42">
        <f t="shared" si="308"/>
        <v>51421.166759601314</v>
      </c>
      <c r="AV115" s="42" t="e">
        <f t="shared" si="308"/>
        <v>#VALUE!</v>
      </c>
      <c r="AW115" s="42" t="e">
        <f t="shared" si="308"/>
        <v>#VALUE!</v>
      </c>
      <c r="AX115" s="42" t="e">
        <f t="shared" si="308"/>
        <v>#VALUE!</v>
      </c>
      <c r="AY115" s="42" t="e">
        <f t="shared" si="308"/>
        <v>#VALUE!</v>
      </c>
      <c r="AZ115" s="42" t="e">
        <f t="shared" si="308"/>
        <v>#VALUE!</v>
      </c>
      <c r="BA115" s="42"/>
      <c r="BB115" s="42"/>
      <c r="BC115" s="42"/>
      <c r="BD115" s="42"/>
      <c r="BE115" s="42"/>
      <c r="BF115" s="42"/>
      <c r="BG115" s="42"/>
      <c r="BH115" s="42"/>
      <c r="BI115" s="42"/>
      <c r="BJ115" s="42"/>
      <c r="BK115" s="42">
        <f t="shared" ref="BK115:BM115" si="314">BK103-BK112</f>
        <v>7338.5050035003915</v>
      </c>
      <c r="BL115" s="42">
        <f t="shared" si="314"/>
        <v>7513.8430131204695</v>
      </c>
      <c r="BM115" s="42">
        <f t="shared" si="314"/>
        <v>7530.333037142349</v>
      </c>
      <c r="BN115" s="42"/>
      <c r="BO115" s="42">
        <f t="shared" ref="BO115:BQ115" si="315">BO103-BO112</f>
        <v>37.810749901383247</v>
      </c>
      <c r="BP115" s="42">
        <f t="shared" si="315"/>
        <v>37.296871766362457</v>
      </c>
      <c r="BQ115" s="42">
        <f t="shared" si="315"/>
        <v>-8030.9409433214423</v>
      </c>
      <c r="BR115" s="42"/>
      <c r="BS115" s="42">
        <f t="shared" ref="BS115:BU115" si="316">BS103-BS112</f>
        <v>-7877.4876853993737</v>
      </c>
      <c r="BT115" s="42">
        <f t="shared" si="316"/>
        <v>-7862.0132890365448</v>
      </c>
      <c r="BU115" s="42">
        <f t="shared" si="316"/>
        <v>-34.095089021687961</v>
      </c>
      <c r="BV115" s="42"/>
      <c r="BW115" s="42">
        <f t="shared" ref="BW115:BY115" si="317">BW103-BW112</f>
        <v>-26.07479991132589</v>
      </c>
      <c r="BX115" s="42">
        <f t="shared" si="317"/>
        <v>-26.981946444069401</v>
      </c>
      <c r="BY115" s="42">
        <f t="shared" si="317"/>
        <v>8.081210621331838</v>
      </c>
      <c r="BZ115" s="42"/>
      <c r="CA115" s="42"/>
      <c r="CB115" s="42"/>
      <c r="CC115" s="42"/>
      <c r="CD115" s="42"/>
      <c r="CE115" s="42">
        <f t="shared" ref="CE115" si="318">CE103-CE112</f>
        <v>-12.198935698665093</v>
      </c>
      <c r="CF115" s="42" t="e">
        <f>#REF!-CF112</f>
        <v>#REF!</v>
      </c>
      <c r="CG115" s="42"/>
      <c r="CI115" s="42"/>
      <c r="CJ115" s="42"/>
      <c r="CK115" s="42"/>
      <c r="CL115" s="42"/>
      <c r="CM115" s="42"/>
      <c r="CN115" s="42"/>
      <c r="CO115" s="42"/>
      <c r="CP115" s="42"/>
      <c r="CQ115" s="42"/>
      <c r="CR115" s="42"/>
      <c r="CS115" s="42"/>
      <c r="CT115" s="42"/>
      <c r="CU115" s="42"/>
      <c r="CV115" s="42"/>
      <c r="CW115" s="42"/>
      <c r="CX115" s="42"/>
      <c r="CY115" s="42"/>
      <c r="CZ115" s="42"/>
      <c r="DA115" s="42"/>
      <c r="DB115" s="42"/>
      <c r="DC115" s="42"/>
      <c r="DD115" s="42"/>
      <c r="DE115" s="42"/>
      <c r="DF115" s="42"/>
      <c r="DG115" s="42"/>
      <c r="DH115" s="42"/>
      <c r="DI115" s="42"/>
      <c r="DJ115" s="42"/>
      <c r="DK115" s="42"/>
      <c r="DL115" s="42"/>
      <c r="DM115" s="42"/>
      <c r="DN115" s="42"/>
      <c r="DO115" s="42"/>
      <c r="DP115" s="42"/>
      <c r="DQ115" s="42"/>
      <c r="DR115" s="42"/>
      <c r="DS115" s="42"/>
      <c r="DT115" s="42"/>
      <c r="DU115" s="42"/>
      <c r="DV115" s="42"/>
      <c r="DW115" s="45"/>
      <c r="DX115" s="45"/>
      <c r="DY115" s="45"/>
      <c r="DZ115" s="45"/>
      <c r="EA115" s="45"/>
      <c r="EB115" s="42"/>
      <c r="EC115" s="42"/>
      <c r="ED115" s="42"/>
      <c r="EE115" s="42"/>
      <c r="EF115" s="42"/>
      <c r="EG115" s="42"/>
      <c r="EH115" s="42"/>
      <c r="EI115" s="42"/>
      <c r="EJ115" s="36"/>
      <c r="EK115" s="42"/>
      <c r="EL115" s="42"/>
      <c r="EM115" s="42"/>
      <c r="EN115" s="42"/>
      <c r="EO115" s="42"/>
      <c r="EP115" s="42"/>
      <c r="EQ115" s="42"/>
      <c r="ER115" s="42"/>
      <c r="ES115" s="42"/>
      <c r="ET115" s="42"/>
      <c r="EU115" s="42"/>
      <c r="EV115" s="42"/>
      <c r="EW115" s="42"/>
      <c r="EX115" s="42"/>
      <c r="EY115" s="42"/>
      <c r="EZ115" s="42"/>
      <c r="FA115" s="42"/>
      <c r="FB115" s="42"/>
      <c r="FC115" s="42"/>
      <c r="FD115" s="42"/>
      <c r="FE115" s="42"/>
      <c r="FF115" s="42"/>
      <c r="FG115" s="42"/>
      <c r="FH115" s="42"/>
      <c r="FI115" s="42"/>
      <c r="FJ115" s="42"/>
      <c r="FK115" s="42"/>
      <c r="FL115" s="42"/>
      <c r="FM115" s="42"/>
      <c r="FN115" s="42"/>
      <c r="FO115" s="42"/>
      <c r="FP115" s="42"/>
      <c r="FQ115" s="42"/>
      <c r="FR115" s="42"/>
      <c r="FS115" s="42"/>
      <c r="FT115" s="42"/>
      <c r="FU115" s="42"/>
      <c r="FV115" s="42"/>
      <c r="FW115" s="42"/>
      <c r="FX115" s="42"/>
      <c r="FY115" s="42"/>
      <c r="FZ115" s="42"/>
      <c r="GA115" s="42"/>
      <c r="GB115" s="42"/>
      <c r="GC115" s="212"/>
      <c r="GD115" s="212"/>
      <c r="GE115" s="212"/>
      <c r="GF115" s="212"/>
      <c r="GG115" s="212"/>
      <c r="GH115" s="212"/>
      <c r="GI115" s="212"/>
      <c r="GJ115" s="212"/>
      <c r="GK115" s="212"/>
      <c r="GL115" s="212">
        <f t="shared" ref="GL115:GM115" si="319">GL103-GL112</f>
        <v>-44.901312009999998</v>
      </c>
      <c r="GM115" s="212">
        <f t="shared" si="319"/>
        <v>-49.84251733</v>
      </c>
      <c r="GN115" s="212">
        <f t="shared" ref="GN115:HV115" si="320">GN103-GN112</f>
        <v>-34.745445359999998</v>
      </c>
      <c r="GO115" s="212" t="e">
        <f t="shared" si="320"/>
        <v>#VALUE!</v>
      </c>
      <c r="GP115" s="212">
        <f t="shared" si="320"/>
        <v>-773.53033072999995</v>
      </c>
      <c r="GQ115" s="212">
        <f t="shared" si="320"/>
        <v>-801.86367928000004</v>
      </c>
      <c r="GR115" s="212">
        <f t="shared" si="320"/>
        <v>-790.25701804000005</v>
      </c>
      <c r="GS115" s="212">
        <f t="shared" si="320"/>
        <v>-877.45789361000004</v>
      </c>
      <c r="GT115" s="212">
        <f t="shared" si="320"/>
        <v>-753.96155853309665</v>
      </c>
      <c r="GU115" s="212">
        <f t="shared" si="320"/>
        <v>-544.72222947</v>
      </c>
      <c r="GV115" s="212">
        <f t="shared" si="320"/>
        <v>-599.22678859999996</v>
      </c>
      <c r="GW115" s="212">
        <f t="shared" si="320"/>
        <v>-631.15807219999897</v>
      </c>
      <c r="GX115" s="212">
        <f t="shared" si="320"/>
        <v>-535.34951976000002</v>
      </c>
      <c r="GY115" s="212">
        <f t="shared" si="320"/>
        <v>-515.267057257754</v>
      </c>
      <c r="GZ115" s="212">
        <f t="shared" si="320"/>
        <v>-494</v>
      </c>
      <c r="HA115" s="212">
        <f t="shared" si="320"/>
        <v>-3</v>
      </c>
      <c r="HB115" s="212">
        <f t="shared" si="320"/>
        <v>0</v>
      </c>
      <c r="HC115" s="212">
        <f t="shared" si="320"/>
        <v>-6</v>
      </c>
      <c r="HD115" s="212">
        <f t="shared" si="320"/>
        <v>-2</v>
      </c>
      <c r="HE115" s="212">
        <f t="shared" si="320"/>
        <v>-489</v>
      </c>
      <c r="HF115" s="212">
        <f t="shared" si="320"/>
        <v>-1</v>
      </c>
      <c r="HG115" s="212">
        <f t="shared" si="320"/>
        <v>-1</v>
      </c>
      <c r="HH115" s="212">
        <f t="shared" si="320"/>
        <v>0</v>
      </c>
      <c r="HI115" s="212">
        <f t="shared" si="320"/>
        <v>-1</v>
      </c>
      <c r="HJ115" s="212">
        <f t="shared" si="320"/>
        <v>-25.201778949102291</v>
      </c>
      <c r="HK115" s="212">
        <f t="shared" si="320"/>
        <v>-25.139664804469273</v>
      </c>
      <c r="HL115" s="212">
        <f t="shared" si="320"/>
        <v>-23.17320703653586</v>
      </c>
      <c r="HM115" s="212">
        <f t="shared" si="320"/>
        <v>-25</v>
      </c>
      <c r="HN115" s="212">
        <f t="shared" si="320"/>
        <v>-36</v>
      </c>
      <c r="HO115" s="212">
        <f t="shared" si="320"/>
        <v>-25</v>
      </c>
      <c r="HP115" s="212">
        <f t="shared" si="320"/>
        <v>-29</v>
      </c>
      <c r="HQ115" s="212">
        <f t="shared" si="320"/>
        <v>-36</v>
      </c>
      <c r="HR115" s="212">
        <f t="shared" si="320"/>
        <v>-32</v>
      </c>
      <c r="HS115" s="212">
        <f t="shared" si="320"/>
        <v>-52</v>
      </c>
      <c r="HT115" s="212">
        <f t="shared" si="320"/>
        <v>-56</v>
      </c>
      <c r="HU115" s="212">
        <f t="shared" si="320"/>
        <v>-66</v>
      </c>
      <c r="HV115" s="212">
        <f t="shared" si="320"/>
        <v>-53</v>
      </c>
    </row>
    <row r="116" spans="3:231" s="128" customFormat="1" x14ac:dyDescent="0.2">
      <c r="C116" s="215"/>
      <c r="D116" s="215"/>
      <c r="E116" s="215"/>
      <c r="F116" s="215"/>
      <c r="G116" s="21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42"/>
      <c r="DX116" s="42"/>
      <c r="DY116" s="42"/>
      <c r="DZ116" s="42"/>
      <c r="EA116" s="42"/>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HJ116" s="227"/>
      <c r="HK116" s="227"/>
      <c r="HL116" s="227"/>
      <c r="HM116" s="227"/>
    </row>
    <row r="117" spans="3:231" s="128" customFormat="1" x14ac:dyDescent="0.2">
      <c r="C117" s="215"/>
      <c r="D117" s="215"/>
      <c r="E117" s="215"/>
      <c r="F117" s="215"/>
      <c r="G117" s="21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HJ117" s="227"/>
      <c r="HK117" s="227"/>
      <c r="HL117" s="227"/>
      <c r="HM117" s="227"/>
    </row>
    <row r="118" spans="3:231" s="128" customFormat="1" x14ac:dyDescent="0.2">
      <c r="C118" s="215"/>
      <c r="D118" s="215"/>
      <c r="E118" s="215"/>
      <c r="F118" s="215"/>
      <c r="G118" s="21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HJ118" s="227"/>
      <c r="HK118" s="227"/>
      <c r="HL118" s="227"/>
      <c r="HM118" s="227"/>
    </row>
    <row r="119" spans="3:231" s="128" customFormat="1" x14ac:dyDescent="0.2">
      <c r="C119" s="215"/>
      <c r="D119" s="215"/>
      <c r="E119" s="215"/>
      <c r="F119" s="215"/>
      <c r="G119" s="21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HJ119" s="227"/>
      <c r="HK119" s="227"/>
      <c r="HL119" s="227"/>
      <c r="HM119" s="227"/>
    </row>
    <row r="120" spans="3:231" s="128" customFormat="1" x14ac:dyDescent="0.2">
      <c r="C120" s="215"/>
      <c r="D120" s="215"/>
      <c r="E120" s="215"/>
      <c r="F120" s="215"/>
      <c r="G120" s="21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c r="GA120" s="36"/>
      <c r="GB120" s="36"/>
      <c r="HJ120" s="227"/>
      <c r="HK120" s="227"/>
      <c r="HL120" s="227"/>
      <c r="HM120" s="227"/>
    </row>
    <row r="121" spans="3:231" s="128" customFormat="1" x14ac:dyDescent="0.2">
      <c r="C121" s="215"/>
      <c r="D121" s="215"/>
      <c r="E121" s="215"/>
      <c r="F121" s="215"/>
      <c r="G121" s="21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HJ121" s="227"/>
      <c r="HK121" s="227"/>
      <c r="HL121" s="227"/>
      <c r="HM121" s="227"/>
    </row>
    <row r="122" spans="3:231" s="128" customFormat="1" x14ac:dyDescent="0.2">
      <c r="C122" s="215"/>
      <c r="D122" s="215"/>
      <c r="E122" s="215"/>
      <c r="F122" s="215"/>
      <c r="G122" s="21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HJ122" s="227"/>
      <c r="HK122" s="227"/>
      <c r="HL122" s="227"/>
      <c r="HM122" s="227"/>
    </row>
    <row r="123" spans="3:231" s="128" customFormat="1" x14ac:dyDescent="0.2">
      <c r="C123" s="215"/>
      <c r="D123" s="215"/>
      <c r="E123" s="215"/>
      <c r="F123" s="215"/>
      <c r="G123" s="21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c r="FZ123" s="36"/>
      <c r="GA123" s="36"/>
      <c r="GB123" s="36"/>
      <c r="HJ123" s="227"/>
      <c r="HK123" s="227"/>
      <c r="HL123" s="227"/>
      <c r="HM123" s="227"/>
    </row>
    <row r="124" spans="3:231" s="128" customFormat="1" x14ac:dyDescent="0.2">
      <c r="C124" s="215"/>
      <c r="D124" s="215"/>
      <c r="E124" s="215"/>
      <c r="F124" s="215"/>
      <c r="G124" s="21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7">
        <v>139</v>
      </c>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c r="GA124" s="36"/>
      <c r="GB124" s="36"/>
      <c r="HJ124" s="227"/>
      <c r="HK124" s="227"/>
      <c r="HL124" s="227"/>
      <c r="HM124" s="227"/>
    </row>
    <row r="125" spans="3:231" s="128" customFormat="1" x14ac:dyDescent="0.2">
      <c r="C125" s="215"/>
      <c r="D125" s="235"/>
      <c r="E125" s="235"/>
      <c r="F125" s="235"/>
      <c r="G125" s="235"/>
      <c r="H125" s="37"/>
      <c r="I125" s="36"/>
      <c r="J125" s="36"/>
      <c r="K125" s="36"/>
      <c r="L125" s="37"/>
      <c r="M125" s="37"/>
      <c r="N125" s="37"/>
      <c r="O125" s="37"/>
      <c r="P125" s="36"/>
      <c r="Q125" s="36"/>
      <c r="R125" s="36"/>
      <c r="S125" s="37"/>
      <c r="T125" s="37"/>
      <c r="U125" s="37"/>
      <c r="V125" s="37"/>
      <c r="W125" s="36"/>
      <c r="X125" s="36"/>
      <c r="Y125" s="36"/>
      <c r="Z125" s="37"/>
      <c r="AA125" s="37"/>
      <c r="AB125" s="37"/>
      <c r="AC125" s="37"/>
      <c r="AD125" s="36"/>
      <c r="AE125" s="36"/>
      <c r="AF125" s="36"/>
      <c r="AG125" s="37"/>
      <c r="AH125" s="37"/>
      <c r="AI125" s="37"/>
      <c r="AJ125" s="37"/>
      <c r="AK125" s="36"/>
      <c r="AL125" s="36"/>
      <c r="AM125" s="36"/>
      <c r="AN125" s="37"/>
      <c r="AO125" s="37"/>
      <c r="AP125" s="37"/>
      <c r="AQ125" s="37"/>
      <c r="AR125" s="36"/>
      <c r="AS125" s="36"/>
      <c r="AT125" s="36"/>
      <c r="AU125" s="37"/>
      <c r="AV125" s="37"/>
      <c r="AW125" s="37"/>
      <c r="AX125" s="37"/>
      <c r="AY125" s="36"/>
      <c r="AZ125" s="36"/>
      <c r="BA125" s="36"/>
      <c r="BB125" s="37"/>
      <c r="BC125" s="37"/>
      <c r="BD125" s="37"/>
      <c r="BE125" s="37"/>
      <c r="BF125" s="36"/>
      <c r="BG125" s="36"/>
      <c r="BH125" s="36"/>
      <c r="BI125" s="37"/>
      <c r="BJ125" s="37"/>
      <c r="BK125" s="37"/>
      <c r="BL125" s="37"/>
      <c r="BM125" s="36"/>
      <c r="BN125" s="36"/>
      <c r="BO125" s="36"/>
      <c r="BP125" s="37"/>
      <c r="BQ125" s="37"/>
      <c r="BR125" s="37"/>
      <c r="BS125" s="37"/>
      <c r="BT125" s="36"/>
      <c r="BU125" s="36"/>
      <c r="BV125" s="36"/>
      <c r="BW125" s="37"/>
      <c r="BX125" s="37"/>
      <c r="BY125" s="37"/>
      <c r="BZ125" s="37"/>
      <c r="CA125" s="36"/>
      <c r="CB125" s="36"/>
      <c r="CC125" s="36"/>
      <c r="CD125" s="37"/>
      <c r="CE125" s="37"/>
      <c r="CF125" s="37"/>
      <c r="CG125" s="37"/>
      <c r="CI125" s="36"/>
      <c r="CJ125" s="36"/>
      <c r="CK125" s="37"/>
      <c r="CL125" s="37"/>
      <c r="CM125" s="37"/>
      <c r="CN125" s="37"/>
      <c r="CO125" s="36"/>
      <c r="CP125" s="36"/>
      <c r="CQ125" s="36"/>
      <c r="CR125" s="37"/>
      <c r="CS125" s="37"/>
      <c r="CT125" s="37"/>
      <c r="CU125" s="37"/>
      <c r="CV125" s="36"/>
      <c r="CW125" s="36"/>
      <c r="CX125" s="36"/>
      <c r="CY125" s="37"/>
      <c r="CZ125" s="37"/>
      <c r="DA125" s="37"/>
      <c r="DB125" s="37"/>
      <c r="DC125" s="36"/>
      <c r="DD125" s="36"/>
      <c r="DE125" s="36"/>
      <c r="DF125" s="37"/>
      <c r="DG125" s="37"/>
      <c r="DH125" s="37"/>
      <c r="DI125" s="37"/>
      <c r="DJ125" s="36"/>
      <c r="DK125" s="36"/>
      <c r="DL125" s="36"/>
      <c r="DM125" s="37"/>
      <c r="DN125" s="37"/>
      <c r="DO125" s="37"/>
      <c r="DP125" s="37"/>
      <c r="DQ125" s="36"/>
      <c r="DR125" s="36"/>
      <c r="DS125" s="36"/>
      <c r="DT125" s="37"/>
      <c r="DU125" s="37"/>
      <c r="DV125" s="37"/>
      <c r="DW125" s="36"/>
      <c r="DX125" s="36"/>
      <c r="DY125" s="36"/>
      <c r="DZ125" s="36"/>
      <c r="EA125" s="36"/>
      <c r="EB125" s="37"/>
      <c r="EC125" s="37"/>
      <c r="ED125" s="37"/>
      <c r="EE125" s="36"/>
      <c r="EF125" s="36"/>
      <c r="EG125" s="36"/>
      <c r="EH125" s="37"/>
      <c r="EI125" s="37"/>
      <c r="EJ125" s="36"/>
      <c r="EK125" s="37"/>
      <c r="EL125" s="36"/>
      <c r="EM125" s="36"/>
      <c r="EN125" s="36"/>
      <c r="EO125" s="37"/>
      <c r="EP125" s="37"/>
      <c r="EQ125" s="37"/>
      <c r="ER125" s="37"/>
      <c r="ES125" s="36"/>
      <c r="ET125" s="36"/>
      <c r="EU125" s="36"/>
      <c r="EV125" s="37"/>
      <c r="EW125" s="37"/>
      <c r="EX125" s="37"/>
      <c r="EY125" s="37"/>
      <c r="EZ125" s="36"/>
      <c r="FA125" s="36"/>
      <c r="FB125" s="36"/>
      <c r="FC125" s="37"/>
      <c r="FD125" s="37"/>
      <c r="FE125" s="37"/>
      <c r="FF125" s="37"/>
      <c r="FG125" s="36"/>
      <c r="FH125" s="36"/>
      <c r="FI125" s="36"/>
      <c r="FJ125" s="37"/>
      <c r="FK125" s="37"/>
      <c r="FL125" s="37"/>
      <c r="FM125" s="37"/>
      <c r="FN125" s="36"/>
      <c r="FO125" s="36"/>
      <c r="FP125" s="36"/>
      <c r="FQ125" s="37"/>
      <c r="FR125" s="37"/>
      <c r="FS125" s="37"/>
      <c r="FT125" s="37"/>
      <c r="FU125" s="36"/>
      <c r="FV125" s="36"/>
      <c r="FW125" s="36"/>
      <c r="FX125" s="37"/>
      <c r="FY125" s="37"/>
      <c r="FZ125" s="37"/>
      <c r="GA125" s="37"/>
      <c r="GB125" s="36"/>
      <c r="GE125" s="213"/>
      <c r="GF125" s="213"/>
      <c r="GG125" s="213"/>
      <c r="GH125" s="213"/>
      <c r="GM125" s="213"/>
      <c r="GN125" s="213"/>
      <c r="GO125" s="213"/>
      <c r="GP125" s="213"/>
      <c r="GT125" s="213"/>
      <c r="GU125" s="213"/>
      <c r="GV125" s="213"/>
      <c r="GW125" s="213"/>
      <c r="HA125" s="213"/>
      <c r="HB125" s="213"/>
      <c r="HC125" s="213"/>
      <c r="HD125" s="213"/>
      <c r="HH125" s="213"/>
      <c r="HI125" s="213"/>
      <c r="HJ125" s="227"/>
      <c r="HK125" s="227"/>
      <c r="HL125" s="227"/>
      <c r="HM125" s="227"/>
      <c r="HN125" s="213"/>
      <c r="HO125" s="213"/>
      <c r="HP125" s="213"/>
      <c r="HQ125" s="213"/>
      <c r="HR125" s="213"/>
      <c r="HS125" s="213"/>
      <c r="HT125" s="213"/>
      <c r="HU125" s="213"/>
      <c r="HV125" s="213"/>
    </row>
    <row r="126" spans="3:231" s="128" customFormat="1" x14ac:dyDescent="0.2">
      <c r="C126" s="215"/>
      <c r="D126" s="215"/>
      <c r="E126" s="215"/>
      <c r="F126" s="215"/>
      <c r="G126" s="21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7">
        <v>126</v>
      </c>
      <c r="DX126" s="36">
        <v>127</v>
      </c>
      <c r="DY126" s="36">
        <v>128</v>
      </c>
      <c r="DZ126" s="36">
        <v>129</v>
      </c>
      <c r="EA126" s="37">
        <v>130</v>
      </c>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c r="FG126" s="36"/>
      <c r="FH126" s="36"/>
      <c r="FI126" s="36"/>
      <c r="FJ126" s="36"/>
      <c r="FK126" s="36"/>
      <c r="FL126" s="36"/>
      <c r="FM126" s="36"/>
      <c r="FN126" s="36"/>
      <c r="FO126" s="36"/>
      <c r="FP126" s="36"/>
      <c r="FQ126" s="36"/>
      <c r="FR126" s="36"/>
      <c r="FS126" s="36"/>
      <c r="FT126" s="36"/>
      <c r="FU126" s="36"/>
      <c r="FV126" s="36"/>
      <c r="FW126" s="36"/>
      <c r="FX126" s="36"/>
      <c r="FY126" s="36"/>
      <c r="FZ126" s="36"/>
      <c r="GA126" s="36"/>
      <c r="GB126" s="36"/>
      <c r="HJ126" s="227"/>
      <c r="HK126" s="227"/>
      <c r="HL126" s="227"/>
      <c r="HM126" s="227"/>
    </row>
    <row r="127" spans="3:231" s="128" customFormat="1" x14ac:dyDescent="0.2">
      <c r="C127" s="215"/>
      <c r="D127" s="215"/>
      <c r="E127" s="215"/>
      <c r="F127" s="215"/>
      <c r="G127" s="21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c r="FG127" s="36"/>
      <c r="FH127" s="36"/>
      <c r="FI127" s="36"/>
      <c r="FJ127" s="36"/>
      <c r="FK127" s="36"/>
      <c r="FL127" s="36"/>
      <c r="FM127" s="36"/>
      <c r="FN127" s="36"/>
      <c r="FO127" s="36"/>
      <c r="FP127" s="36"/>
      <c r="FQ127" s="36"/>
      <c r="FR127" s="36"/>
      <c r="FS127" s="36"/>
      <c r="FT127" s="36"/>
      <c r="FU127" s="36"/>
      <c r="FV127" s="36"/>
      <c r="FW127" s="36"/>
      <c r="FX127" s="36"/>
      <c r="FY127" s="36"/>
      <c r="FZ127" s="36"/>
      <c r="GA127" s="36"/>
      <c r="GB127" s="36"/>
      <c r="HJ127" s="227"/>
      <c r="HK127" s="227"/>
      <c r="HL127" s="227"/>
      <c r="HM127" s="227"/>
    </row>
    <row r="128" spans="3:231" s="128" customFormat="1" x14ac:dyDescent="0.2">
      <c r="C128" s="215"/>
      <c r="D128" s="215"/>
      <c r="E128" s="215"/>
      <c r="F128" s="215"/>
      <c r="G128" s="21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c r="GA128" s="36"/>
      <c r="GB128" s="36"/>
      <c r="HJ128" s="227"/>
      <c r="HK128" s="227"/>
      <c r="HL128" s="227"/>
      <c r="HM128" s="227"/>
    </row>
    <row r="129" spans="218:221" x14ac:dyDescent="0.2">
      <c r="HJ129" s="114"/>
      <c r="HK129" s="114"/>
      <c r="HL129" s="114"/>
      <c r="HM129" s="114"/>
    </row>
    <row r="130" spans="218:221" x14ac:dyDescent="0.2">
      <c r="HJ130" s="114"/>
      <c r="HK130" s="114"/>
      <c r="HL130" s="114"/>
      <c r="HM130" s="114"/>
    </row>
    <row r="131" spans="218:221" x14ac:dyDescent="0.2">
      <c r="HJ131" s="114"/>
      <c r="HK131" s="114"/>
      <c r="HL131" s="114"/>
      <c r="HM131" s="114"/>
    </row>
    <row r="132" spans="218:221" x14ac:dyDescent="0.2">
      <c r="HJ132" s="114"/>
      <c r="HK132" s="114"/>
      <c r="HL132" s="114"/>
      <c r="HM132" s="114"/>
    </row>
    <row r="133" spans="218:221" x14ac:dyDescent="0.2">
      <c r="HJ133" s="114"/>
      <c r="HK133" s="114"/>
      <c r="HL133" s="114"/>
      <c r="HM133" s="114"/>
    </row>
    <row r="134" spans="218:221" x14ac:dyDescent="0.2">
      <c r="HJ134" s="114"/>
      <c r="HK134" s="114"/>
      <c r="HL134" s="114"/>
      <c r="HM134" s="114"/>
    </row>
    <row r="135" spans="218:221" x14ac:dyDescent="0.2">
      <c r="HJ135" s="114"/>
      <c r="HK135" s="114"/>
      <c r="HL135" s="114"/>
      <c r="HM135" s="114"/>
    </row>
    <row r="136" spans="218:221" x14ac:dyDescent="0.2">
      <c r="HJ136" s="114"/>
      <c r="HK136" s="114"/>
      <c r="HL136" s="114"/>
      <c r="HM136" s="114"/>
    </row>
    <row r="137" spans="218:221" x14ac:dyDescent="0.2">
      <c r="HJ137" s="114"/>
      <c r="HK137" s="114"/>
      <c r="HL137" s="114"/>
      <c r="HM137" s="114"/>
    </row>
    <row r="138" spans="218:221" x14ac:dyDescent="0.2">
      <c r="HJ138" s="114"/>
      <c r="HK138" s="114"/>
      <c r="HL138" s="114"/>
      <c r="HM138" s="114"/>
    </row>
    <row r="139" spans="218:221" x14ac:dyDescent="0.2">
      <c r="HJ139" s="114"/>
      <c r="HK139" s="114"/>
      <c r="HL139" s="114"/>
      <c r="HM139" s="114"/>
    </row>
    <row r="140" spans="218:221" x14ac:dyDescent="0.2">
      <c r="HJ140" s="114"/>
      <c r="HK140" s="114"/>
      <c r="HL140" s="114"/>
      <c r="HM140" s="114"/>
    </row>
    <row r="141" spans="218:221" x14ac:dyDescent="0.2">
      <c r="HJ141" s="114"/>
      <c r="HK141" s="114"/>
      <c r="HL141" s="114"/>
      <c r="HM141" s="114"/>
    </row>
    <row r="142" spans="218:221" x14ac:dyDescent="0.2">
      <c r="HJ142" s="114"/>
      <c r="HK142" s="114"/>
      <c r="HL142" s="114"/>
      <c r="HM142" s="114"/>
    </row>
    <row r="143" spans="218:221" x14ac:dyDescent="0.2">
      <c r="HJ143" s="114"/>
      <c r="HK143" s="114"/>
      <c r="HL143" s="114"/>
      <c r="HM143" s="114"/>
    </row>
    <row r="144" spans="218:221" x14ac:dyDescent="0.2">
      <c r="HJ144" s="114"/>
      <c r="HK144" s="114"/>
      <c r="HL144" s="114"/>
      <c r="HM144" s="114"/>
    </row>
    <row r="145" spans="218:221" x14ac:dyDescent="0.2">
      <c r="HJ145" s="114"/>
      <c r="HK145" s="114"/>
      <c r="HL145" s="114"/>
      <c r="HM145" s="114"/>
    </row>
    <row r="146" spans="218:221" x14ac:dyDescent="0.2">
      <c r="HJ146" s="114"/>
      <c r="HK146" s="114"/>
      <c r="HL146" s="114"/>
      <c r="HM146" s="114"/>
    </row>
    <row r="147" spans="218:221" x14ac:dyDescent="0.2">
      <c r="HJ147" s="114"/>
      <c r="HK147" s="114"/>
      <c r="HL147" s="114"/>
      <c r="HM147" s="114"/>
    </row>
    <row r="148" spans="218:221" x14ac:dyDescent="0.2">
      <c r="HJ148" s="114"/>
      <c r="HK148" s="114"/>
      <c r="HL148" s="114"/>
      <c r="HM148" s="114"/>
    </row>
    <row r="149" spans="218:221" x14ac:dyDescent="0.2">
      <c r="HJ149" s="114"/>
      <c r="HK149" s="114"/>
      <c r="HL149" s="114"/>
      <c r="HM149" s="114"/>
    </row>
    <row r="150" spans="218:221" x14ac:dyDescent="0.2">
      <c r="HJ150" s="114"/>
      <c r="HK150" s="114"/>
      <c r="HL150" s="114"/>
      <c r="HM150" s="114"/>
    </row>
    <row r="151" spans="218:221" x14ac:dyDescent="0.2">
      <c r="HJ151" s="114"/>
      <c r="HK151" s="114"/>
      <c r="HL151" s="114"/>
      <c r="HM151" s="114"/>
    </row>
    <row r="152" spans="218:221" x14ac:dyDescent="0.2">
      <c r="HJ152" s="114"/>
      <c r="HK152" s="114"/>
      <c r="HL152" s="114"/>
      <c r="HM152" s="114"/>
    </row>
    <row r="153" spans="218:221" x14ac:dyDescent="0.2">
      <c r="HJ153" s="114"/>
      <c r="HK153" s="114"/>
      <c r="HL153" s="114"/>
      <c r="HM153" s="114"/>
    </row>
    <row r="154" spans="218:221" x14ac:dyDescent="0.2">
      <c r="HJ154" s="114"/>
      <c r="HK154" s="114"/>
      <c r="HL154" s="114"/>
      <c r="HM154" s="114"/>
    </row>
    <row r="155" spans="218:221" x14ac:dyDescent="0.2">
      <c r="HJ155" s="114"/>
      <c r="HK155" s="114"/>
      <c r="HL155" s="114"/>
      <c r="HM155" s="114"/>
    </row>
    <row r="156" spans="218:221" x14ac:dyDescent="0.2">
      <c r="HJ156" s="114"/>
      <c r="HK156" s="114"/>
      <c r="HL156" s="114"/>
      <c r="HM156" s="114"/>
    </row>
    <row r="157" spans="218:221" x14ac:dyDescent="0.2">
      <c r="HJ157" s="114"/>
      <c r="HK157" s="114"/>
      <c r="HL157" s="114"/>
      <c r="HM157" s="114"/>
    </row>
    <row r="158" spans="218:221" x14ac:dyDescent="0.2">
      <c r="HJ158" s="114"/>
      <c r="HK158" s="114"/>
      <c r="HL158" s="114"/>
      <c r="HM158" s="114"/>
    </row>
    <row r="159" spans="218:221" x14ac:dyDescent="0.2">
      <c r="HJ159" s="114"/>
      <c r="HK159" s="114"/>
      <c r="HL159" s="114"/>
      <c r="HM159" s="114"/>
    </row>
    <row r="160" spans="218:221" x14ac:dyDescent="0.2">
      <c r="HJ160" s="114"/>
      <c r="HK160" s="114"/>
      <c r="HL160" s="114"/>
      <c r="HM160" s="114"/>
    </row>
    <row r="161" spans="218:221" x14ac:dyDescent="0.2">
      <c r="HJ161" s="114"/>
      <c r="HK161" s="114"/>
      <c r="HL161" s="114"/>
      <c r="HM161" s="114"/>
    </row>
    <row r="162" spans="218:221" x14ac:dyDescent="0.2">
      <c r="HJ162" s="114"/>
      <c r="HK162" s="114"/>
      <c r="HL162" s="114"/>
      <c r="HM162" s="114"/>
    </row>
    <row r="163" spans="218:221" x14ac:dyDescent="0.2">
      <c r="HJ163" s="114"/>
      <c r="HK163" s="114"/>
      <c r="HL163" s="114"/>
      <c r="HM163" s="114"/>
    </row>
    <row r="164" spans="218:221" x14ac:dyDescent="0.2">
      <c r="HJ164" s="114"/>
      <c r="HK164" s="114"/>
      <c r="HL164" s="114"/>
      <c r="HM164" s="114"/>
    </row>
    <row r="165" spans="218:221" x14ac:dyDescent="0.2">
      <c r="HJ165" s="114"/>
      <c r="HK165" s="114"/>
      <c r="HL165" s="114"/>
      <c r="HM165" s="114"/>
    </row>
    <row r="166" spans="218:221" x14ac:dyDescent="0.2">
      <c r="HJ166" s="114"/>
      <c r="HK166" s="114"/>
      <c r="HL166" s="114"/>
      <c r="HM166" s="114"/>
    </row>
    <row r="167" spans="218:221" x14ac:dyDescent="0.2">
      <c r="HJ167" s="114"/>
      <c r="HK167" s="114"/>
      <c r="HL167" s="114"/>
      <c r="HM167" s="114"/>
    </row>
    <row r="168" spans="218:221" x14ac:dyDescent="0.2">
      <c r="HJ168" s="114"/>
      <c r="HK168" s="114"/>
      <c r="HL168" s="114"/>
      <c r="HM168" s="114"/>
    </row>
    <row r="169" spans="218:221" x14ac:dyDescent="0.2">
      <c r="HJ169" s="114"/>
      <c r="HK169" s="114"/>
      <c r="HL169" s="114"/>
      <c r="HM169" s="114"/>
    </row>
    <row r="170" spans="218:221" x14ac:dyDescent="0.2">
      <c r="HJ170" s="114"/>
      <c r="HK170" s="114"/>
      <c r="HL170" s="114"/>
      <c r="HM170" s="114"/>
    </row>
    <row r="171" spans="218:221" x14ac:dyDescent="0.2">
      <c r="HJ171" s="114"/>
      <c r="HK171" s="114"/>
      <c r="HL171" s="114"/>
      <c r="HM171" s="114"/>
    </row>
    <row r="172" spans="218:221" x14ac:dyDescent="0.2">
      <c r="HJ172" s="114"/>
      <c r="HK172" s="114"/>
      <c r="HL172" s="114"/>
      <c r="HM172" s="114"/>
    </row>
    <row r="173" spans="218:221" x14ac:dyDescent="0.2">
      <c r="HJ173" s="114"/>
      <c r="HK173" s="114"/>
      <c r="HL173" s="114"/>
      <c r="HM173" s="114"/>
    </row>
    <row r="174" spans="218:221" x14ac:dyDescent="0.2">
      <c r="HJ174" s="114"/>
      <c r="HK174" s="114"/>
      <c r="HL174" s="114"/>
      <c r="HM174" s="114"/>
    </row>
    <row r="175" spans="218:221" x14ac:dyDescent="0.2">
      <c r="HJ175" s="114"/>
      <c r="HK175" s="114"/>
      <c r="HL175" s="114"/>
      <c r="HM175" s="114"/>
    </row>
    <row r="176" spans="218:221" x14ac:dyDescent="0.2">
      <c r="HJ176" s="114"/>
      <c r="HK176" s="114"/>
      <c r="HL176" s="114"/>
      <c r="HM176" s="114"/>
    </row>
  </sheetData>
  <mergeCells count="45">
    <mergeCell ref="GZ1:HD1"/>
    <mergeCell ref="DO1:DR1"/>
    <mergeCell ref="DS1:DV1"/>
    <mergeCell ref="DW1:EA1"/>
    <mergeCell ref="EB1:EE1"/>
    <mergeCell ref="EF1:EI1"/>
    <mergeCell ref="EW1:EZ1"/>
    <mergeCell ref="FA1:FD1"/>
    <mergeCell ref="FE1:FH1"/>
    <mergeCell ref="FI1:FL1"/>
    <mergeCell ref="FM1:FP1"/>
    <mergeCell ref="FQ1:FT1"/>
    <mergeCell ref="FU1:FX1"/>
    <mergeCell ref="FY1:GB1"/>
    <mergeCell ref="GC1:GF1"/>
    <mergeCell ref="GG1:GJ1"/>
    <mergeCell ref="DG1:DJ1"/>
    <mergeCell ref="DK1:DN1"/>
    <mergeCell ref="EJ1:EN1"/>
    <mergeCell ref="EO1:ER1"/>
    <mergeCell ref="ES1:EV1"/>
    <mergeCell ref="CM1:CP1"/>
    <mergeCell ref="CQ1:CT1"/>
    <mergeCell ref="CU1:CX1"/>
    <mergeCell ref="CY1:DB1"/>
    <mergeCell ref="DC1:DF1"/>
    <mergeCell ref="BS1:BV1"/>
    <mergeCell ref="BW1:BZ1"/>
    <mergeCell ref="CA1:CD1"/>
    <mergeCell ref="CE1:CH1"/>
    <mergeCell ref="CI1:CL1"/>
    <mergeCell ref="W1:AA1"/>
    <mergeCell ref="R1:V1"/>
    <mergeCell ref="AQ1:AU1"/>
    <mergeCell ref="AV1:AZ1"/>
    <mergeCell ref="C1:G1"/>
    <mergeCell ref="H1:L1"/>
    <mergeCell ref="M1:Q1"/>
    <mergeCell ref="AB1:AF1"/>
    <mergeCell ref="AG1:AK1"/>
    <mergeCell ref="BA1:BE1"/>
    <mergeCell ref="BF1:BJ1"/>
    <mergeCell ref="BK1:BN1"/>
    <mergeCell ref="BO1:BR1"/>
    <mergeCell ref="AL1:AP1"/>
  </mergeCells>
  <phoneticPr fontId="0" type="noConversion"/>
  <pageMargins left="0.75" right="0.75" top="1" bottom="1" header="0.5" footer="0.5"/>
  <pageSetup orientation="portrait" r:id="rId1"/>
  <headerFooter alignWithMargins="0">
    <oddHeader>&amp;LDemographics</oddHeader>
    <oddFooter>&amp;L&amp;8Center for Health Statistics
Minnesota Department of Health&amp;R&amp;8&amp;P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1"/>
  <sheetViews>
    <sheetView showGridLines="0" tabSelected="1" topLeftCell="A10" zoomScaleNormal="100" zoomScaleSheetLayoutView="100" workbookViewId="0">
      <selection activeCell="A37" sqref="A37:J37"/>
    </sheetView>
  </sheetViews>
  <sheetFormatPr defaultRowHeight="12.75" x14ac:dyDescent="0.2"/>
  <sheetData>
    <row r="2" spans="1:10" ht="18.75" customHeight="1" x14ac:dyDescent="0.2">
      <c r="B2" s="7"/>
      <c r="C2" s="7"/>
      <c r="D2" s="7"/>
      <c r="E2" s="7"/>
      <c r="F2" s="7"/>
      <c r="G2" s="7"/>
      <c r="H2" s="7"/>
    </row>
    <row r="3" spans="1:10" ht="18.75" customHeight="1" x14ac:dyDescent="0.2">
      <c r="B3" s="7"/>
      <c r="C3" s="7"/>
      <c r="D3" s="7"/>
      <c r="E3" s="7"/>
      <c r="F3" s="7"/>
      <c r="G3" s="7"/>
      <c r="H3" s="7"/>
    </row>
    <row r="4" spans="1:10" ht="18.75" customHeight="1" x14ac:dyDescent="0.2">
      <c r="B4" s="7"/>
      <c r="C4" s="7"/>
      <c r="D4" s="7"/>
      <c r="E4" s="7"/>
      <c r="F4" s="7"/>
      <c r="G4" s="7"/>
      <c r="H4" s="7"/>
    </row>
    <row r="5" spans="1:10" ht="18.75" x14ac:dyDescent="0.2">
      <c r="B5" s="7"/>
    </row>
    <row r="6" spans="1:10" ht="18.75" x14ac:dyDescent="0.2">
      <c r="B6" s="7"/>
    </row>
    <row r="7" spans="1:10" ht="15.75" x14ac:dyDescent="0.25">
      <c r="A7" s="1"/>
    </row>
    <row r="8" spans="1:10" ht="15.75" x14ac:dyDescent="0.25">
      <c r="A8" s="1"/>
    </row>
    <row r="9" spans="1:10" ht="15.75" x14ac:dyDescent="0.25">
      <c r="A9" s="1"/>
    </row>
    <row r="10" spans="1:10" ht="15.75" x14ac:dyDescent="0.25">
      <c r="A10" s="1"/>
    </row>
    <row r="11" spans="1:10" ht="15.75" x14ac:dyDescent="0.25">
      <c r="A11" s="1"/>
    </row>
    <row r="12" spans="1:10" ht="13.5" customHeight="1" x14ac:dyDescent="0.25">
      <c r="A12" s="1"/>
    </row>
    <row r="13" spans="1:10" ht="15.75" customHeight="1" x14ac:dyDescent="0.2">
      <c r="A13" s="251" t="s">
        <v>169</v>
      </c>
      <c r="B13" s="252"/>
      <c r="C13" s="252"/>
      <c r="D13" s="252"/>
      <c r="E13" s="252"/>
      <c r="F13" s="252"/>
      <c r="G13" s="252"/>
      <c r="H13" s="252"/>
      <c r="I13" s="252"/>
      <c r="J13" s="252"/>
    </row>
    <row r="14" spans="1:10" ht="15.75" customHeight="1" x14ac:dyDescent="0.2">
      <c r="A14" s="252"/>
      <c r="B14" s="252"/>
      <c r="C14" s="252"/>
      <c r="D14" s="252"/>
      <c r="E14" s="252"/>
      <c r="F14" s="252"/>
      <c r="G14" s="252"/>
      <c r="H14" s="252"/>
      <c r="I14" s="252"/>
      <c r="J14" s="252"/>
    </row>
    <row r="15" spans="1:10" ht="15.75" customHeight="1" x14ac:dyDescent="0.2">
      <c r="A15" s="252"/>
      <c r="B15" s="252"/>
      <c r="C15" s="252"/>
      <c r="D15" s="252"/>
      <c r="E15" s="252"/>
      <c r="F15" s="252"/>
      <c r="G15" s="252"/>
      <c r="H15" s="252"/>
      <c r="I15" s="252"/>
      <c r="J15" s="252"/>
    </row>
    <row r="16" spans="1:10" ht="15.75" customHeight="1" x14ac:dyDescent="0.2">
      <c r="A16" s="252"/>
      <c r="B16" s="252"/>
      <c r="C16" s="252"/>
      <c r="D16" s="252"/>
      <c r="E16" s="252"/>
      <c r="F16" s="252"/>
      <c r="G16" s="252"/>
      <c r="H16" s="252"/>
      <c r="I16" s="252"/>
      <c r="J16" s="252"/>
    </row>
    <row r="17" spans="1:10" ht="15.75" customHeight="1" x14ac:dyDescent="0.2">
      <c r="A17" s="252"/>
      <c r="B17" s="252"/>
      <c r="C17" s="252"/>
      <c r="D17" s="252"/>
      <c r="E17" s="252"/>
      <c r="F17" s="252"/>
      <c r="G17" s="252"/>
      <c r="H17" s="252"/>
      <c r="I17" s="252"/>
      <c r="J17" s="252"/>
    </row>
    <row r="18" spans="1:10" ht="15.75" customHeight="1" x14ac:dyDescent="0.2">
      <c r="A18" s="252"/>
      <c r="B18" s="252"/>
      <c r="C18" s="252"/>
      <c r="D18" s="252"/>
      <c r="E18" s="252"/>
      <c r="F18" s="252"/>
      <c r="G18" s="252"/>
      <c r="H18" s="252"/>
      <c r="I18" s="252"/>
      <c r="J18" s="252"/>
    </row>
    <row r="19" spans="1:10" ht="15.75" customHeight="1" x14ac:dyDescent="0.2">
      <c r="A19" s="252"/>
      <c r="B19" s="252"/>
      <c r="C19" s="252"/>
      <c r="D19" s="252"/>
      <c r="E19" s="252"/>
      <c r="F19" s="252"/>
      <c r="G19" s="252"/>
      <c r="H19" s="252"/>
      <c r="I19" s="252"/>
      <c r="J19" s="252"/>
    </row>
    <row r="20" spans="1:10" ht="15" customHeight="1" x14ac:dyDescent="0.2">
      <c r="A20" s="252"/>
      <c r="B20" s="252"/>
      <c r="C20" s="252"/>
      <c r="D20" s="252"/>
      <c r="E20" s="252"/>
      <c r="F20" s="252"/>
      <c r="G20" s="252"/>
      <c r="H20" s="252"/>
      <c r="I20" s="252"/>
      <c r="J20" s="252"/>
    </row>
    <row r="21" spans="1:10" ht="15.75" x14ac:dyDescent="0.25">
      <c r="A21" s="2"/>
    </row>
    <row r="22" spans="1:10" ht="15.75" x14ac:dyDescent="0.25">
      <c r="A22" s="2"/>
    </row>
    <row r="23" spans="1:10" ht="15.75" x14ac:dyDescent="0.25">
      <c r="A23" s="2"/>
    </row>
    <row r="24" spans="1:10" ht="15.75" x14ac:dyDescent="0.25">
      <c r="A24" s="2"/>
    </row>
    <row r="25" spans="1:10" ht="15.75" x14ac:dyDescent="0.25">
      <c r="A25" s="2"/>
    </row>
    <row r="26" spans="1:10" ht="15.75" x14ac:dyDescent="0.25">
      <c r="A26" s="2"/>
    </row>
    <row r="27" spans="1:10" ht="15.75" x14ac:dyDescent="0.25">
      <c r="A27" s="2"/>
    </row>
    <row r="28" spans="1:10" ht="15.75" x14ac:dyDescent="0.25">
      <c r="A28" s="2"/>
    </row>
    <row r="29" spans="1:10" ht="15.75" x14ac:dyDescent="0.25">
      <c r="A29" s="2"/>
    </row>
    <row r="30" spans="1:10" ht="15.75" x14ac:dyDescent="0.25">
      <c r="A30" s="2"/>
    </row>
    <row r="31" spans="1:10" ht="15.75" x14ac:dyDescent="0.25">
      <c r="A31" s="2"/>
    </row>
    <row r="32" spans="1:10" ht="15.75" x14ac:dyDescent="0.25">
      <c r="A32" s="2"/>
    </row>
    <row r="33" spans="1:10" ht="15.75" x14ac:dyDescent="0.25">
      <c r="A33" s="253" t="s">
        <v>518</v>
      </c>
      <c r="B33" s="253"/>
      <c r="C33" s="253"/>
      <c r="D33" s="253"/>
      <c r="E33" s="253"/>
      <c r="F33" s="253"/>
      <c r="G33" s="253"/>
      <c r="H33" s="253"/>
      <c r="I33" s="253"/>
      <c r="J33" s="253"/>
    </row>
    <row r="34" spans="1:10" ht="15.75" x14ac:dyDescent="0.25">
      <c r="A34" s="3"/>
    </row>
    <row r="35" spans="1:10" ht="15.75" x14ac:dyDescent="0.25">
      <c r="A35" s="254" t="s">
        <v>136</v>
      </c>
      <c r="B35" s="254"/>
      <c r="C35" s="254"/>
      <c r="D35" s="254"/>
      <c r="E35" s="254"/>
      <c r="F35" s="254"/>
      <c r="G35" s="254"/>
      <c r="H35" s="254"/>
      <c r="I35" s="254"/>
      <c r="J35" s="254"/>
    </row>
    <row r="36" spans="1:10" ht="15.75" x14ac:dyDescent="0.25">
      <c r="A36" s="254" t="s">
        <v>477</v>
      </c>
      <c r="B36" s="254"/>
      <c r="C36" s="254"/>
      <c r="D36" s="254"/>
      <c r="E36" s="254"/>
      <c r="F36" s="254"/>
      <c r="G36" s="254"/>
      <c r="H36" s="254"/>
      <c r="I36" s="254"/>
      <c r="J36" s="254"/>
    </row>
    <row r="37" spans="1:10" ht="15.75" x14ac:dyDescent="0.25">
      <c r="A37" s="254" t="s">
        <v>137</v>
      </c>
      <c r="B37" s="254"/>
      <c r="C37" s="254"/>
      <c r="D37" s="254"/>
      <c r="E37" s="254"/>
      <c r="F37" s="254"/>
      <c r="G37" s="254"/>
      <c r="H37" s="254"/>
      <c r="I37" s="254"/>
      <c r="J37" s="254"/>
    </row>
    <row r="38" spans="1:10" ht="15.75" x14ac:dyDescent="0.25">
      <c r="A38" s="254" t="s">
        <v>138</v>
      </c>
      <c r="B38" s="254"/>
      <c r="C38" s="254"/>
      <c r="D38" s="254"/>
      <c r="E38" s="254"/>
      <c r="F38" s="254"/>
      <c r="G38" s="254"/>
      <c r="H38" s="254"/>
      <c r="I38" s="254"/>
      <c r="J38" s="254"/>
    </row>
    <row r="39" spans="1:10" x14ac:dyDescent="0.2">
      <c r="A39" s="250" t="s">
        <v>139</v>
      </c>
      <c r="B39" s="250"/>
      <c r="C39" s="250"/>
      <c r="D39" s="250"/>
      <c r="E39" s="250"/>
      <c r="F39" s="250"/>
      <c r="G39" s="250"/>
      <c r="H39" s="250"/>
      <c r="I39" s="250"/>
      <c r="J39" s="250"/>
    </row>
    <row r="40" spans="1:10" x14ac:dyDescent="0.2">
      <c r="A40" s="250" t="s">
        <v>160</v>
      </c>
      <c r="B40" s="250"/>
      <c r="C40" s="250"/>
      <c r="D40" s="250"/>
      <c r="E40" s="250"/>
      <c r="F40" s="250"/>
      <c r="G40" s="250"/>
      <c r="H40" s="250"/>
      <c r="I40" s="250"/>
      <c r="J40" s="250"/>
    </row>
    <row r="41" spans="1:10" ht="15.75" x14ac:dyDescent="0.25">
      <c r="A41" s="2"/>
    </row>
  </sheetData>
  <mergeCells count="8">
    <mergeCell ref="A39:J39"/>
    <mergeCell ref="A40:J40"/>
    <mergeCell ref="A13:J20"/>
    <mergeCell ref="A33:J33"/>
    <mergeCell ref="A35:J35"/>
    <mergeCell ref="A36:J36"/>
    <mergeCell ref="A37:J37"/>
    <mergeCell ref="A38:J38"/>
  </mergeCells>
  <hyperlinks>
    <hyperlink ref="A39" r:id="rId1"/>
    <hyperlink ref="A40" r:id="rId2"/>
  </hyperlinks>
  <pageMargins left="0.75" right="0.75" top="0.5" bottom="0.5" header="0.5" footer="0.5"/>
  <pageSetup scale="89" fitToHeight="0"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J224"/>
  <sheetViews>
    <sheetView showGridLines="0" topLeftCell="A46" zoomScaleNormal="100" zoomScaleSheetLayoutView="70" workbookViewId="0"/>
  </sheetViews>
  <sheetFormatPr defaultRowHeight="12.75" x14ac:dyDescent="0.2"/>
  <sheetData>
    <row r="2" spans="1:10" ht="18.75" customHeight="1" x14ac:dyDescent="0.2">
      <c r="B2" s="7"/>
      <c r="C2" s="7"/>
      <c r="D2" s="7"/>
      <c r="E2" s="7"/>
      <c r="F2" s="7"/>
      <c r="G2" s="7"/>
      <c r="H2" s="7"/>
    </row>
    <row r="3" spans="1:10" ht="18.75" customHeight="1" x14ac:dyDescent="0.2">
      <c r="B3" s="7"/>
      <c r="C3" s="7"/>
      <c r="D3" s="7"/>
      <c r="E3" s="7"/>
      <c r="F3" s="7"/>
      <c r="G3" s="7"/>
      <c r="H3" s="7"/>
    </row>
    <row r="4" spans="1:10" ht="18.75" customHeight="1" x14ac:dyDescent="0.2">
      <c r="B4" s="7"/>
      <c r="C4" s="7"/>
      <c r="D4" s="7"/>
      <c r="E4" s="7"/>
      <c r="F4" s="7"/>
      <c r="G4" s="7"/>
      <c r="H4" s="7"/>
    </row>
    <row r="5" spans="1:10" ht="18.75" x14ac:dyDescent="0.2">
      <c r="B5" s="7"/>
    </row>
    <row r="7" spans="1:10" ht="15.75" x14ac:dyDescent="0.25">
      <c r="A7" s="3"/>
    </row>
    <row r="8" spans="1:10" s="15" customFormat="1" ht="15.75" x14ac:dyDescent="0.25">
      <c r="A8" s="35" t="s">
        <v>170</v>
      </c>
    </row>
    <row r="9" spans="1:10" ht="15.75" x14ac:dyDescent="0.25">
      <c r="A9" s="4"/>
    </row>
    <row r="10" spans="1:10" ht="15.75" x14ac:dyDescent="0.25">
      <c r="A10" s="4"/>
    </row>
    <row r="11" spans="1:10" ht="15.75" x14ac:dyDescent="0.25">
      <c r="A11" s="4"/>
    </row>
    <row r="12" spans="1:10" ht="15.75" x14ac:dyDescent="0.25">
      <c r="A12" s="4"/>
    </row>
    <row r="13" spans="1:10" ht="15.75" x14ac:dyDescent="0.25">
      <c r="A13" s="4"/>
      <c r="J13" s="11"/>
    </row>
    <row r="14" spans="1:10" ht="15" x14ac:dyDescent="0.2">
      <c r="A14" s="5"/>
    </row>
    <row r="15" spans="1:10" ht="15.75" x14ac:dyDescent="0.25">
      <c r="A15" s="3"/>
    </row>
    <row r="17" spans="1:2" ht="15.75" x14ac:dyDescent="0.25">
      <c r="A17" s="3"/>
    </row>
    <row r="19" spans="1:2" ht="15.75" x14ac:dyDescent="0.25">
      <c r="A19" s="4"/>
    </row>
    <row r="20" spans="1:2" ht="15.75" x14ac:dyDescent="0.25">
      <c r="A20" s="3"/>
    </row>
    <row r="21" spans="1:2" ht="15.75" x14ac:dyDescent="0.2">
      <c r="A21" s="8"/>
      <c r="B21" s="255"/>
    </row>
    <row r="22" spans="1:2" ht="15.75" x14ac:dyDescent="0.2">
      <c r="A22" s="8"/>
      <c r="B22" s="255"/>
    </row>
    <row r="23" spans="1:2" ht="15.75" x14ac:dyDescent="0.2">
      <c r="A23" s="8"/>
      <c r="B23" s="255"/>
    </row>
    <row r="24" spans="1:2" ht="15.75" x14ac:dyDescent="0.2">
      <c r="A24" s="8"/>
      <c r="B24" s="255"/>
    </row>
    <row r="25" spans="1:2" ht="15.75" x14ac:dyDescent="0.2">
      <c r="A25" s="8"/>
      <c r="B25" s="255"/>
    </row>
    <row r="26" spans="1:2" ht="15.75" x14ac:dyDescent="0.25">
      <c r="A26" s="3"/>
    </row>
    <row r="27" spans="1:2" ht="15.75" x14ac:dyDescent="0.25">
      <c r="A27" s="4"/>
    </row>
    <row r="28" spans="1:2" ht="15.75" x14ac:dyDescent="0.25">
      <c r="A28" s="3"/>
    </row>
    <row r="29" spans="1:2" ht="15.75" x14ac:dyDescent="0.25">
      <c r="A29" s="3"/>
    </row>
    <row r="30" spans="1:2" ht="15.75" x14ac:dyDescent="0.25">
      <c r="A30" s="3"/>
    </row>
    <row r="31" spans="1:2" ht="15.75" x14ac:dyDescent="0.25">
      <c r="A31" s="3"/>
    </row>
    <row r="32" spans="1:2" ht="15.75" x14ac:dyDescent="0.25">
      <c r="A32" s="3"/>
    </row>
    <row r="33" spans="1:1" ht="15.75" x14ac:dyDescent="0.25">
      <c r="A33" s="3"/>
    </row>
    <row r="34" spans="1:1" ht="15.75" x14ac:dyDescent="0.25">
      <c r="A34" s="3"/>
    </row>
    <row r="35" spans="1:1" ht="15.75" x14ac:dyDescent="0.25">
      <c r="A35" s="3"/>
    </row>
    <row r="36" spans="1:1" ht="15.75" x14ac:dyDescent="0.25">
      <c r="A36" s="3"/>
    </row>
    <row r="37" spans="1:1" ht="15.75" x14ac:dyDescent="0.25">
      <c r="A37" s="3"/>
    </row>
    <row r="38" spans="1:1" ht="15.75" x14ac:dyDescent="0.25">
      <c r="A38" s="3"/>
    </row>
    <row r="39" spans="1:1" ht="15.75" x14ac:dyDescent="0.25">
      <c r="A39" s="3"/>
    </row>
    <row r="40" spans="1:1" ht="15.75" x14ac:dyDescent="0.25">
      <c r="A40" s="4"/>
    </row>
    <row r="42" spans="1:1" ht="15.75" x14ac:dyDescent="0.25">
      <c r="A42" s="3"/>
    </row>
    <row r="43" spans="1:1" ht="15.75" x14ac:dyDescent="0.25">
      <c r="A43" s="4"/>
    </row>
    <row r="44" spans="1:1" ht="15.75" x14ac:dyDescent="0.25">
      <c r="A44" s="3"/>
    </row>
    <row r="45" spans="1:1" ht="15.75" x14ac:dyDescent="0.25">
      <c r="A45" s="3"/>
    </row>
    <row r="46" spans="1:1" ht="15.75" x14ac:dyDescent="0.25">
      <c r="A46" s="4"/>
    </row>
    <row r="47" spans="1:1" ht="15.75" x14ac:dyDescent="0.25">
      <c r="A47" s="3"/>
    </row>
    <row r="48" spans="1:1" ht="15.75" x14ac:dyDescent="0.25">
      <c r="A48" s="3"/>
    </row>
    <row r="49" spans="1:10" ht="15.75" x14ac:dyDescent="0.25">
      <c r="A49" s="3"/>
    </row>
    <row r="50" spans="1:10" ht="15.75" x14ac:dyDescent="0.25">
      <c r="A50" s="3"/>
    </row>
    <row r="51" spans="1:10" ht="15.75" x14ac:dyDescent="0.25">
      <c r="A51" s="4"/>
    </row>
    <row r="52" spans="1:10" ht="15.75" x14ac:dyDescent="0.25">
      <c r="A52" s="3"/>
    </row>
    <row r="53" spans="1:10" ht="15.75" x14ac:dyDescent="0.25">
      <c r="A53" s="3"/>
    </row>
    <row r="54" spans="1:10" ht="15.75" x14ac:dyDescent="0.25">
      <c r="A54" s="3"/>
    </row>
    <row r="55" spans="1:10" ht="15.75" x14ac:dyDescent="0.2">
      <c r="A55" s="8"/>
      <c r="B55" s="255"/>
      <c r="C55" s="9"/>
      <c r="D55" s="9"/>
    </row>
    <row r="56" spans="1:10" ht="15.75" x14ac:dyDescent="0.2">
      <c r="A56" s="8"/>
      <c r="B56" s="255"/>
      <c r="C56" s="9"/>
      <c r="D56" s="9"/>
    </row>
    <row r="57" spans="1:10" ht="15.75" x14ac:dyDescent="0.2">
      <c r="A57" s="8"/>
      <c r="B57" s="255"/>
      <c r="C57" s="9"/>
      <c r="D57" s="9"/>
    </row>
    <row r="58" spans="1:10" ht="15.75" x14ac:dyDescent="0.2">
      <c r="A58" s="8"/>
      <c r="B58" s="255"/>
      <c r="C58" s="9"/>
      <c r="D58" s="9"/>
    </row>
    <row r="59" spans="1:10" ht="15.75" x14ac:dyDescent="0.2">
      <c r="A59" s="8"/>
      <c r="B59" s="255"/>
      <c r="C59" s="9"/>
      <c r="D59" s="9"/>
      <c r="J59" s="11"/>
    </row>
    <row r="60" spans="1:10" ht="15.75" x14ac:dyDescent="0.25">
      <c r="A60" s="10"/>
      <c r="B60" s="9"/>
      <c r="C60" s="9"/>
      <c r="D60" s="9"/>
    </row>
    <row r="61" spans="1:10" ht="15.75" x14ac:dyDescent="0.25">
      <c r="A61" s="10"/>
      <c r="B61" s="9"/>
      <c r="C61" s="9"/>
      <c r="D61" s="9"/>
    </row>
    <row r="62" spans="1:10" ht="15.75" x14ac:dyDescent="0.25">
      <c r="A62" s="10"/>
      <c r="B62" s="9"/>
      <c r="C62" s="9"/>
      <c r="D62" s="9"/>
    </row>
    <row r="63" spans="1:10" ht="15.75" x14ac:dyDescent="0.2">
      <c r="A63" s="8"/>
      <c r="B63" s="255"/>
      <c r="C63" s="9"/>
      <c r="D63" s="9"/>
    </row>
    <row r="64" spans="1:10" ht="15.75" x14ac:dyDescent="0.2">
      <c r="A64" s="8"/>
      <c r="B64" s="255"/>
      <c r="C64" s="9"/>
      <c r="D64" s="9"/>
    </row>
    <row r="65" spans="1:4" ht="15.75" x14ac:dyDescent="0.2">
      <c r="A65" s="8"/>
      <c r="B65" s="255"/>
      <c r="C65" s="9"/>
      <c r="D65" s="9"/>
    </row>
    <row r="66" spans="1:4" ht="15.75" x14ac:dyDescent="0.2">
      <c r="A66" s="8"/>
      <c r="B66" s="255"/>
      <c r="C66" s="9"/>
      <c r="D66" s="9"/>
    </row>
    <row r="67" spans="1:4" ht="15.75" x14ac:dyDescent="0.2">
      <c r="A67" s="8"/>
      <c r="B67" s="255"/>
      <c r="C67" s="9"/>
      <c r="D67" s="9"/>
    </row>
    <row r="68" spans="1:4" ht="15.75" x14ac:dyDescent="0.2">
      <c r="A68" s="8"/>
      <c r="B68" s="255"/>
      <c r="C68" s="9"/>
      <c r="D68" s="9"/>
    </row>
    <row r="69" spans="1:4" ht="15.75" x14ac:dyDescent="0.25">
      <c r="A69" s="3"/>
    </row>
    <row r="70" spans="1:4" ht="15.75" x14ac:dyDescent="0.25">
      <c r="A70" s="3"/>
    </row>
    <row r="71" spans="1:4" ht="15.75" x14ac:dyDescent="0.25">
      <c r="A71" s="3"/>
    </row>
    <row r="72" spans="1:4" x14ac:dyDescent="0.2">
      <c r="A72" s="6"/>
    </row>
    <row r="73" spans="1:4" x14ac:dyDescent="0.2">
      <c r="A73" s="6"/>
    </row>
    <row r="74" spans="1:4" x14ac:dyDescent="0.2">
      <c r="A74" s="6"/>
    </row>
    <row r="75" spans="1:4" x14ac:dyDescent="0.2">
      <c r="A75" s="6"/>
    </row>
    <row r="76" spans="1:4" x14ac:dyDescent="0.2">
      <c r="A76" s="6"/>
    </row>
    <row r="77" spans="1:4" x14ac:dyDescent="0.2">
      <c r="A77" s="6"/>
    </row>
    <row r="78" spans="1:4" x14ac:dyDescent="0.2">
      <c r="A78" s="6"/>
    </row>
    <row r="79" spans="1:4" x14ac:dyDescent="0.2">
      <c r="A79" s="6"/>
    </row>
    <row r="80" spans="1:4" x14ac:dyDescent="0.2">
      <c r="A80" s="6"/>
    </row>
    <row r="81" spans="1:1" ht="15.75" x14ac:dyDescent="0.2">
      <c r="A81" s="33"/>
    </row>
    <row r="82" spans="1:1" ht="15.75" x14ac:dyDescent="0.2">
      <c r="A82" s="34"/>
    </row>
    <row r="112" spans="10:10" x14ac:dyDescent="0.2">
      <c r="J112" s="11"/>
    </row>
    <row r="116" spans="10:10" x14ac:dyDescent="0.2">
      <c r="J116" s="11"/>
    </row>
    <row r="168" spans="10:10" x14ac:dyDescent="0.2">
      <c r="J168" s="11">
        <v>5</v>
      </c>
    </row>
    <row r="172" spans="10:10" ht="14.25" customHeight="1" x14ac:dyDescent="0.2"/>
    <row r="224" spans="10:10" x14ac:dyDescent="0.2">
      <c r="J224" s="11"/>
    </row>
  </sheetData>
  <mergeCells count="3">
    <mergeCell ref="B63:B68"/>
    <mergeCell ref="B21:B25"/>
    <mergeCell ref="B55:B59"/>
  </mergeCells>
  <phoneticPr fontId="6" type="noConversion"/>
  <pageMargins left="0.75" right="0.75" top="0.5" bottom="0.5" header="0.5" footer="0.5"/>
  <pageSetup orientation="portrait" r:id="rId1"/>
  <headerFooter alignWithMargins="0"/>
  <rowBreaks count="5" manualBreakCount="5">
    <brk id="34" max="16383" man="1"/>
    <brk id="78" max="16383" man="1"/>
    <brk id="132" max="16383" man="1"/>
    <brk id="171" max="16383" man="1"/>
    <brk id="21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pageSetUpPr fitToPage="1"/>
  </sheetPr>
  <dimension ref="A2:AZ430"/>
  <sheetViews>
    <sheetView showGridLines="0" topLeftCell="A97" zoomScaleNormal="100" zoomScaleSheetLayoutView="124" zoomScalePageLayoutView="55" workbookViewId="0">
      <selection activeCell="H69" sqref="H69:L70"/>
    </sheetView>
  </sheetViews>
  <sheetFormatPr defaultRowHeight="12.75" x14ac:dyDescent="0.2"/>
  <cols>
    <col min="1" max="1" width="33.1640625" style="15" customWidth="1"/>
    <col min="2" max="2" width="10.1640625" style="17" customWidth="1"/>
    <col min="3" max="3" width="11.1640625" style="17" customWidth="1"/>
    <col min="4" max="4" width="11.6640625" style="17" customWidth="1"/>
    <col min="5" max="5" width="11.1640625" style="17" customWidth="1"/>
    <col min="6" max="6" width="11.33203125" style="17" bestFit="1" customWidth="1"/>
    <col min="7" max="7" width="1.6640625" style="17" customWidth="1"/>
    <col min="8" max="8" width="10.33203125" style="17" customWidth="1"/>
    <col min="9" max="9" width="11.83203125" style="17" customWidth="1"/>
    <col min="10" max="10" width="10.6640625" style="17" customWidth="1"/>
    <col min="11" max="11" width="11" style="17" customWidth="1"/>
    <col min="12" max="12" width="10.1640625" style="17" bestFit="1" customWidth="1"/>
    <col min="13" max="14" width="9.33203125" style="15"/>
    <col min="15" max="16" width="9.33203125" style="15" customWidth="1"/>
    <col min="17" max="17" width="8.1640625" style="15" customWidth="1"/>
    <col min="18" max="18" width="9.33203125" hidden="1" customWidth="1"/>
    <col min="19" max="63" width="9.33203125" style="15" customWidth="1"/>
    <col min="64" max="16384" width="9.33203125" style="15"/>
  </cols>
  <sheetData>
    <row r="2" spans="1:12" x14ac:dyDescent="0.2">
      <c r="A2" s="256" t="s">
        <v>494</v>
      </c>
      <c r="B2" s="257"/>
      <c r="C2" s="257"/>
      <c r="D2" s="257"/>
      <c r="E2" s="257"/>
      <c r="F2" s="257"/>
      <c r="G2" s="257"/>
      <c r="H2" s="257"/>
      <c r="I2" s="257"/>
      <c r="J2" s="257"/>
      <c r="K2" s="257"/>
      <c r="L2" s="257"/>
    </row>
    <row r="3" spans="1:12" x14ac:dyDescent="0.2">
      <c r="A3" s="257"/>
      <c r="B3" s="257"/>
      <c r="C3" s="257"/>
      <c r="D3" s="257"/>
      <c r="E3" s="257"/>
      <c r="F3" s="257"/>
      <c r="G3" s="257"/>
      <c r="H3" s="257"/>
      <c r="I3" s="257"/>
      <c r="J3" s="257"/>
      <c r="K3" s="257"/>
      <c r="L3" s="257"/>
    </row>
    <row r="4" spans="1:12" x14ac:dyDescent="0.2">
      <c r="A4" s="257"/>
      <c r="B4" s="257"/>
      <c r="C4" s="257"/>
      <c r="D4" s="257"/>
      <c r="E4" s="257"/>
      <c r="F4" s="257"/>
      <c r="G4" s="257"/>
      <c r="H4" s="257"/>
      <c r="I4" s="257"/>
      <c r="J4" s="257"/>
      <c r="K4" s="257"/>
      <c r="L4" s="257"/>
    </row>
    <row r="5" spans="1:12" x14ac:dyDescent="0.2">
      <c r="A5" s="257"/>
      <c r="B5" s="257"/>
      <c r="C5" s="257"/>
      <c r="D5" s="257"/>
      <c r="E5" s="257"/>
      <c r="F5" s="257"/>
      <c r="G5" s="257"/>
      <c r="H5" s="257"/>
      <c r="I5" s="257"/>
      <c r="J5" s="257"/>
      <c r="K5" s="257"/>
      <c r="L5" s="257"/>
    </row>
    <row r="6" spans="1:12" x14ac:dyDescent="0.2">
      <c r="A6" s="257"/>
      <c r="B6" s="257"/>
      <c r="C6" s="257"/>
      <c r="D6" s="257"/>
      <c r="E6" s="257"/>
      <c r="F6" s="257"/>
      <c r="G6" s="257"/>
      <c r="H6" s="257"/>
      <c r="I6" s="257"/>
      <c r="J6" s="257"/>
      <c r="K6" s="257"/>
      <c r="L6" s="257"/>
    </row>
    <row r="7" spans="1:12" x14ac:dyDescent="0.2">
      <c r="A7" s="257"/>
      <c r="B7" s="257"/>
      <c r="C7" s="257"/>
      <c r="D7" s="257"/>
      <c r="E7" s="257"/>
      <c r="F7" s="257"/>
      <c r="G7" s="257"/>
      <c r="H7" s="257"/>
      <c r="I7" s="257"/>
      <c r="J7" s="257"/>
      <c r="K7" s="257"/>
      <c r="L7" s="257"/>
    </row>
    <row r="8" spans="1:12" x14ac:dyDescent="0.2">
      <c r="A8" s="257"/>
      <c r="B8" s="257"/>
      <c r="C8" s="257"/>
      <c r="D8" s="257"/>
      <c r="E8" s="257"/>
      <c r="F8" s="257"/>
      <c r="G8" s="257"/>
      <c r="H8" s="257"/>
      <c r="I8" s="257"/>
      <c r="J8" s="257"/>
      <c r="K8" s="257"/>
      <c r="L8" s="257"/>
    </row>
    <row r="9" spans="1:12" x14ac:dyDescent="0.2">
      <c r="A9" s="257"/>
      <c r="B9" s="257"/>
      <c r="C9" s="257"/>
      <c r="D9" s="257"/>
      <c r="E9" s="257"/>
      <c r="F9" s="257"/>
      <c r="G9" s="257"/>
      <c r="H9" s="257"/>
      <c r="I9" s="257"/>
      <c r="J9" s="257"/>
      <c r="K9" s="257"/>
      <c r="L9" s="257"/>
    </row>
    <row r="10" spans="1:12" x14ac:dyDescent="0.2">
      <c r="A10" s="257"/>
      <c r="B10" s="257"/>
      <c r="C10" s="257"/>
      <c r="D10" s="257"/>
      <c r="E10" s="257"/>
      <c r="F10" s="257"/>
      <c r="G10" s="257"/>
      <c r="H10" s="257"/>
      <c r="I10" s="257"/>
      <c r="J10" s="257"/>
      <c r="K10" s="257"/>
      <c r="L10" s="257"/>
    </row>
    <row r="11" spans="1:12" x14ac:dyDescent="0.2">
      <c r="A11" s="258"/>
      <c r="B11" s="258"/>
      <c r="C11" s="258"/>
      <c r="D11" s="258"/>
      <c r="E11" s="258"/>
      <c r="F11" s="258"/>
      <c r="G11" s="258"/>
      <c r="H11" s="258"/>
      <c r="I11" s="258"/>
      <c r="J11" s="258"/>
      <c r="K11" s="258"/>
      <c r="L11" s="258"/>
    </row>
    <row r="12" spans="1:12" ht="14.25" customHeight="1" x14ac:dyDescent="0.2">
      <c r="A12" s="26"/>
      <c r="B12" s="26"/>
      <c r="C12" s="26"/>
      <c r="D12" s="26"/>
      <c r="E12" s="26"/>
      <c r="F12" s="26"/>
      <c r="G12" s="26"/>
      <c r="H12" s="26"/>
      <c r="I12" s="26"/>
      <c r="J12" s="26"/>
      <c r="K12" s="26"/>
      <c r="L12" s="26"/>
    </row>
    <row r="13" spans="1:12" ht="26.25" customHeight="1" x14ac:dyDescent="0.2">
      <c r="A13" s="29" t="s">
        <v>476</v>
      </c>
      <c r="B13" s="29"/>
      <c r="C13" s="29"/>
      <c r="D13" s="29"/>
      <c r="E13" s="32"/>
    </row>
    <row r="14" spans="1:12" ht="12.75" customHeight="1" x14ac:dyDescent="0.3">
      <c r="B14" s="30"/>
    </row>
    <row r="15" spans="1:12" ht="15.75" customHeight="1" x14ac:dyDescent="0.3">
      <c r="B15" s="28"/>
    </row>
    <row r="16" spans="1:12" ht="20.25" customHeight="1" x14ac:dyDescent="0.25">
      <c r="A16" s="262" t="s">
        <v>459</v>
      </c>
      <c r="B16" s="265"/>
      <c r="C16" s="265"/>
      <c r="D16" s="265"/>
      <c r="E16" s="266"/>
    </row>
    <row r="17" spans="1:11" ht="6.75" customHeight="1" x14ac:dyDescent="0.2">
      <c r="A17"/>
      <c r="B17"/>
      <c r="C17"/>
      <c r="D17"/>
      <c r="E17"/>
    </row>
    <row r="18" spans="1:11" ht="21.75" customHeight="1" x14ac:dyDescent="0.25">
      <c r="A18" s="262" t="s">
        <v>49</v>
      </c>
      <c r="B18" s="263"/>
      <c r="C18" s="263"/>
      <c r="D18" s="263"/>
      <c r="E18" s="264"/>
    </row>
    <row r="19" spans="1:11" ht="9" customHeight="1" x14ac:dyDescent="0.2">
      <c r="A19"/>
      <c r="B19"/>
      <c r="C19"/>
      <c r="D19"/>
      <c r="E19"/>
    </row>
    <row r="20" spans="1:11" ht="21" customHeight="1" x14ac:dyDescent="0.25">
      <c r="A20" s="262" t="s">
        <v>50</v>
      </c>
      <c r="B20" s="263"/>
      <c r="C20" s="263"/>
      <c r="D20" s="263"/>
      <c r="E20" s="264"/>
    </row>
    <row r="21" spans="1:11" ht="7.5" customHeight="1" x14ac:dyDescent="0.2">
      <c r="A21"/>
      <c r="B21"/>
      <c r="C21"/>
      <c r="D21"/>
      <c r="E21"/>
    </row>
    <row r="22" spans="1:11" ht="20.25" customHeight="1" x14ac:dyDescent="0.25">
      <c r="A22" s="262" t="s">
        <v>51</v>
      </c>
      <c r="B22" s="263"/>
      <c r="C22" s="263"/>
      <c r="D22" s="263"/>
      <c r="E22" s="264"/>
      <c r="F22"/>
      <c r="G22"/>
      <c r="H22"/>
      <c r="I22"/>
      <c r="J22"/>
      <c r="K22"/>
    </row>
    <row r="23" spans="1:11" x14ac:dyDescent="0.2">
      <c r="A23"/>
      <c r="B23"/>
      <c r="C23"/>
      <c r="D23"/>
      <c r="E23"/>
      <c r="F23"/>
      <c r="G23"/>
      <c r="H23"/>
      <c r="I23"/>
      <c r="J23"/>
      <c r="K23"/>
    </row>
    <row r="24" spans="1:11" ht="21.75" customHeight="1" x14ac:dyDescent="0.25">
      <c r="A24" s="262" t="s">
        <v>52</v>
      </c>
      <c r="B24" s="263"/>
      <c r="C24" s="263"/>
      <c r="D24" s="263"/>
      <c r="E24" s="264"/>
      <c r="F24" s="31"/>
      <c r="G24" s="31"/>
      <c r="H24" s="31"/>
      <c r="I24" s="31"/>
      <c r="J24" s="31"/>
      <c r="K24" s="31"/>
    </row>
    <row r="25" spans="1:11" x14ac:dyDescent="0.2">
      <c r="A25"/>
      <c r="B25"/>
      <c r="C25"/>
      <c r="D25"/>
      <c r="E25"/>
      <c r="F25" s="31"/>
      <c r="G25" s="31"/>
      <c r="H25" s="31"/>
      <c r="I25" s="31"/>
      <c r="J25" s="31"/>
      <c r="K25" s="31"/>
    </row>
    <row r="26" spans="1:11" ht="23.25" customHeight="1" x14ac:dyDescent="0.25">
      <c r="A26" s="262" t="s">
        <v>53</v>
      </c>
      <c r="B26" s="263"/>
      <c r="C26" s="263"/>
      <c r="D26" s="263"/>
      <c r="E26" s="264"/>
      <c r="F26" s="31"/>
      <c r="G26" s="31"/>
      <c r="H26" s="31"/>
      <c r="I26" s="31"/>
      <c r="J26" s="31"/>
      <c r="K26" s="31"/>
    </row>
    <row r="27" spans="1:11" ht="15.75" customHeight="1" x14ac:dyDescent="0.3">
      <c r="B27" s="30"/>
      <c r="F27" s="31"/>
      <c r="G27" s="31"/>
      <c r="H27" s="31"/>
      <c r="I27" s="31"/>
      <c r="J27" s="31"/>
      <c r="K27" s="31"/>
    </row>
    <row r="28" spans="1:11" ht="11.25" customHeight="1" x14ac:dyDescent="0.3">
      <c r="A28" s="30"/>
      <c r="B28" s="30"/>
      <c r="F28" s="31"/>
      <c r="G28" s="31"/>
      <c r="H28" s="31"/>
      <c r="I28" s="31"/>
      <c r="J28" s="31"/>
      <c r="K28" s="31"/>
    </row>
    <row r="29" spans="1:11" ht="20.25" x14ac:dyDescent="0.3">
      <c r="A29" s="25"/>
      <c r="B29" s="25"/>
      <c r="F29" s="31"/>
      <c r="G29" s="31"/>
      <c r="H29" s="31"/>
      <c r="I29" s="31"/>
      <c r="J29" s="31"/>
      <c r="K29" s="31"/>
    </row>
    <row r="30" spans="1:11" ht="20.25" x14ac:dyDescent="0.3">
      <c r="B30" s="30"/>
    </row>
    <row r="31" spans="1:11" ht="20.25" x14ac:dyDescent="0.3">
      <c r="A31" s="30"/>
      <c r="B31" s="30"/>
      <c r="H31" s="93" t="s">
        <v>443</v>
      </c>
    </row>
    <row r="32" spans="1:11" ht="13.5" customHeight="1" x14ac:dyDescent="0.3">
      <c r="A32" s="25"/>
      <c r="B32" s="25"/>
      <c r="H32" s="32" t="s">
        <v>137</v>
      </c>
    </row>
    <row r="33" spans="1:24" ht="15.75" customHeight="1" x14ac:dyDescent="0.3">
      <c r="B33" s="30"/>
      <c r="C33" s="30"/>
      <c r="D33" s="30"/>
      <c r="E33" s="30"/>
      <c r="H33" s="32" t="s">
        <v>159</v>
      </c>
    </row>
    <row r="34" spans="1:24" ht="12.75" customHeight="1" x14ac:dyDescent="0.2">
      <c r="A34" s="268" t="s">
        <v>44</v>
      </c>
      <c r="B34" s="268"/>
      <c r="C34" s="268"/>
      <c r="D34" s="268"/>
      <c r="E34" s="268"/>
      <c r="F34" s="268"/>
      <c r="G34" s="268"/>
      <c r="H34" s="268"/>
      <c r="I34" s="268"/>
      <c r="J34" s="268"/>
      <c r="K34" s="268"/>
      <c r="L34" s="268"/>
    </row>
    <row r="35" spans="1:24" ht="14.25" x14ac:dyDescent="0.2">
      <c r="A35" s="52"/>
      <c r="B35" s="261" t="s">
        <v>444</v>
      </c>
      <c r="C35" s="261"/>
      <c r="D35" s="261"/>
      <c r="E35" s="261"/>
      <c r="F35" s="261"/>
      <c r="G35" s="54"/>
      <c r="H35" s="261" t="s">
        <v>513</v>
      </c>
      <c r="I35" s="261"/>
      <c r="J35" s="261"/>
      <c r="K35" s="261"/>
      <c r="L35" s="261"/>
    </row>
    <row r="36" spans="1:24" ht="24" x14ac:dyDescent="0.2">
      <c r="A36" s="53"/>
      <c r="B36" s="55">
        <f>'Template IF 2'!C2</f>
        <v>2013</v>
      </c>
      <c r="C36" s="55">
        <f>'Template IF 2'!D2</f>
        <v>2014</v>
      </c>
      <c r="D36" s="55">
        <f>'Template IF 2'!E2</f>
        <v>2015</v>
      </c>
      <c r="E36" s="55">
        <f>'Template IF 2'!F2</f>
        <v>2016</v>
      </c>
      <c r="F36" s="55">
        <f>'Template IF 2'!G2</f>
        <v>2017</v>
      </c>
      <c r="G36" s="27"/>
      <c r="H36" s="56" t="s">
        <v>509</v>
      </c>
      <c r="I36" s="56" t="s">
        <v>512</v>
      </c>
      <c r="J36" s="56" t="s">
        <v>34</v>
      </c>
      <c r="K36" s="56" t="s">
        <v>28</v>
      </c>
      <c r="L36" s="56" t="s">
        <v>510</v>
      </c>
    </row>
    <row r="37" spans="1:24" ht="15.75" customHeight="1" x14ac:dyDescent="0.2">
      <c r="A37" s="52" t="s">
        <v>22</v>
      </c>
      <c r="B37" s="118">
        <f>'Template IF 2'!C3</f>
        <v>5420380</v>
      </c>
      <c r="C37" s="118">
        <f>'Template IF 2'!D3</f>
        <v>5457173</v>
      </c>
      <c r="D37" s="118">
        <f>'Template IF 2'!E3</f>
        <v>5489594</v>
      </c>
      <c r="E37" s="118">
        <f>'Template IF 2'!F3</f>
        <v>5519952</v>
      </c>
      <c r="F37" s="118">
        <f>'Template IF 2'!G3</f>
        <v>5576606</v>
      </c>
      <c r="G37" s="54"/>
      <c r="H37" s="122">
        <f>'Template IF 2'!H3</f>
        <v>4519243</v>
      </c>
      <c r="I37" s="122">
        <f>'Template IF 2'!I3</f>
        <v>390257</v>
      </c>
      <c r="J37" s="122">
        <f>'Template IF 2'!J3</f>
        <v>68049</v>
      </c>
      <c r="K37" s="122">
        <f>'Template IF 2'!K3</f>
        <v>297650</v>
      </c>
      <c r="L37" s="122">
        <f>'Template IF 2'!L3</f>
        <v>301407</v>
      </c>
    </row>
    <row r="38" spans="1:24" ht="15.75" customHeight="1" x14ac:dyDescent="0.2">
      <c r="A38" s="52" t="str">
        <f>A16</f>
        <v>Aitkin, Itasca, Koochiching</v>
      </c>
      <c r="B38" s="118">
        <f>VLOOKUP($A16,'Template IF 2'!$B$3:$HI$110,2,FALSE)</f>
        <v>74512</v>
      </c>
      <c r="C38" s="119">
        <f>VLOOKUP($A16,'Template IF 2'!$B$3:$HI$110,3,FALSE)</f>
        <v>74216</v>
      </c>
      <c r="D38" s="119">
        <f>VLOOKUP($A16,'Template IF 2'!$B$3:$HI$110,4,FALSE)</f>
        <v>73978</v>
      </c>
      <c r="E38" s="119">
        <f>VLOOKUP($A16,'Template IF 2'!$B$3:$HI$110,5,FALSE)</f>
        <v>73453</v>
      </c>
      <c r="F38" s="119">
        <f>VLOOKUP($A16,'Template IF 2'!$B$3:$HI$110,6,FALSE)</f>
        <v>73494</v>
      </c>
      <c r="G38" s="54"/>
      <c r="H38" s="119">
        <f>VLOOKUP($A16,'Template IF 2'!$B$3:$HI$110,7,FALSE)</f>
        <v>68796</v>
      </c>
      <c r="I38" s="119">
        <f>VLOOKUP($A16,'Template IF 2'!$B$3:$HI$110,8,FALSE)</f>
        <v>639</v>
      </c>
      <c r="J38" s="119">
        <f>VLOOKUP($A16,'Template IF 2'!$B$3:$HI$110,9,FALSE)</f>
        <v>2679</v>
      </c>
      <c r="K38" s="119">
        <f>VLOOKUP($A16,'Template IF 2'!$B$3:$HI$110,10,FALSE)</f>
        <v>324</v>
      </c>
      <c r="L38" s="119">
        <f>VLOOKUP($A16,'Template IF 2'!$B$3:$HI$110,11,FALSE)</f>
        <v>1056</v>
      </c>
    </row>
    <row r="39" spans="1:24" ht="15.75" customHeight="1" x14ac:dyDescent="0.2">
      <c r="A39" s="52" t="str">
        <f>A18</f>
        <v>Anoka County</v>
      </c>
      <c r="B39" s="118">
        <f>VLOOKUP($A18,'Template IF 2'!$B$3:$HI$110,2,FALSE)</f>
        <v>339534</v>
      </c>
      <c r="C39" s="119">
        <f>VLOOKUP($A18,'Template IF 2'!$B$3:$HI$110,3,FALSE)</f>
        <v>341864</v>
      </c>
      <c r="D39" s="119">
        <f>VLOOKUP($A18,'Template IF 2'!$B$3:$HI$110,4,FALSE)</f>
        <v>344151</v>
      </c>
      <c r="E39" s="119">
        <f>VLOOKUP($A18,'Template IF 2'!$B$3:$HI$110,5,FALSE)</f>
        <v>345957</v>
      </c>
      <c r="F39" s="119">
        <f>VLOOKUP($A18,'Template IF 2'!$B$3:$HI$110,6,FALSE)</f>
        <v>351373</v>
      </c>
      <c r="G39" s="54"/>
      <c r="H39" s="119">
        <f>VLOOKUP($A18,'Template IF 2'!$B$3:$HI$110,7,FALSE)</f>
        <v>290252</v>
      </c>
      <c r="I39" s="119">
        <f>VLOOKUP($A18,'Template IF 2'!$B$3:$HI$110,8,FALSE)</f>
        <v>24550</v>
      </c>
      <c r="J39" s="119">
        <f>VLOOKUP($A18,'Template IF 2'!$B$3:$HI$110,9,FALSE)</f>
        <v>2733</v>
      </c>
      <c r="K39" s="119">
        <f>VLOOKUP($A18,'Template IF 2'!$B$3:$HI$110,10,FALSE)</f>
        <v>17786</v>
      </c>
      <c r="L39" s="119">
        <f>VLOOKUP($A18,'Template IF 2'!$B$3:$HI$110,11,FALSE)</f>
        <v>16052</v>
      </c>
    </row>
    <row r="40" spans="1:24" ht="15.75" customHeight="1" x14ac:dyDescent="0.2">
      <c r="A40" s="52" t="str">
        <f>A20</f>
        <v>Becker County</v>
      </c>
      <c r="B40" s="118">
        <f>VLOOKUP($A20,'Template IF 2'!$B$3:$HI$110,2,FALSE)</f>
        <v>33231</v>
      </c>
      <c r="C40" s="119">
        <f>VLOOKUP($A20,'Template IF 2'!$B$3:$HI$110,3,FALSE)</f>
        <v>33259</v>
      </c>
      <c r="D40" s="119">
        <f>VLOOKUP($A20,'Template IF 2'!$B$3:$HI$110,4,FALSE)</f>
        <v>33386</v>
      </c>
      <c r="E40" s="119">
        <f>VLOOKUP($A20,'Template IF 2'!$B$3:$HI$110,5,FALSE)</f>
        <v>33734</v>
      </c>
      <c r="F40" s="119">
        <f>VLOOKUP($A20,'Template IF 2'!$B$3:$HI$110,6,FALSE)</f>
        <v>34098</v>
      </c>
      <c r="G40" s="54"/>
      <c r="H40" s="119">
        <f>VLOOKUP($A20,'Template IF 2'!$B$3:$HI$110,7,FALSE)</f>
        <v>30003</v>
      </c>
      <c r="I40" s="119">
        <f>VLOOKUP($A20,'Template IF 2'!$B$3:$HI$110,8,FALSE)</f>
        <v>314</v>
      </c>
      <c r="J40" s="119">
        <f>VLOOKUP($A20,'Template IF 2'!$B$3:$HI$110,9,FALSE)</f>
        <v>2881</v>
      </c>
      <c r="K40" s="119">
        <f>VLOOKUP($A20,'Template IF 2'!$B$3:$HI$110,10,FALSE)</f>
        <v>193</v>
      </c>
      <c r="L40" s="119">
        <f>VLOOKUP($A20,'Template IF 2'!$B$3:$HI$110,11,FALSE)</f>
        <v>707</v>
      </c>
    </row>
    <row r="41" spans="1:24" ht="15.75" customHeight="1" x14ac:dyDescent="0.2">
      <c r="A41" s="52" t="str">
        <f>A22</f>
        <v>Beltrami County</v>
      </c>
      <c r="B41" s="118">
        <f>VLOOKUP($A22,'Template IF 2'!$B$3:$HI$110,2,FALSE)</f>
        <v>45670</v>
      </c>
      <c r="C41" s="119">
        <f>VLOOKUP($A22,'Template IF 2'!$B$3:$HI$110,3,FALSE)</f>
        <v>45664</v>
      </c>
      <c r="D41" s="119">
        <f>VLOOKUP($A22,'Template IF 2'!$B$3:$HI$110,4,FALSE)</f>
        <v>45672</v>
      </c>
      <c r="E41" s="119">
        <f>VLOOKUP($A22,'Template IF 2'!$B$3:$HI$110,5,FALSE)</f>
        <v>46106</v>
      </c>
      <c r="F41" s="119">
        <f>VLOOKUP($A22,'Template IF 2'!$B$3:$HI$110,6,FALSE)</f>
        <v>46513</v>
      </c>
      <c r="G41" s="54"/>
      <c r="H41" s="119">
        <f>VLOOKUP($A22,'Template IF 2'!$B$3:$HI$110,7,FALSE)</f>
        <v>34107</v>
      </c>
      <c r="I41" s="119">
        <f>VLOOKUP($A22,'Template IF 2'!$B$3:$HI$110,8,FALSE)</f>
        <v>565</v>
      </c>
      <c r="J41" s="119">
        <f>VLOOKUP($A22,'Template IF 2'!$B$3:$HI$110,9,FALSE)</f>
        <v>10361</v>
      </c>
      <c r="K41" s="119">
        <f>VLOOKUP($A22,'Template IF 2'!$B$3:$HI$110,10,FALSE)</f>
        <v>394</v>
      </c>
      <c r="L41" s="119">
        <f>VLOOKUP($A22,'Template IF 2'!$B$3:$HI$110,11,FALSE)</f>
        <v>1086</v>
      </c>
    </row>
    <row r="42" spans="1:24" ht="15.75" customHeight="1" x14ac:dyDescent="0.2">
      <c r="A42" s="52" t="str">
        <f>A24</f>
        <v>Benton County</v>
      </c>
      <c r="B42" s="118">
        <f>VLOOKUP($A24,'Template IF 2'!$B$3:$HI$110,2,FALSE)</f>
        <v>39214</v>
      </c>
      <c r="C42" s="119">
        <f>VLOOKUP($A24,'Template IF 2'!$B$3:$HI$110,3,FALSE)</f>
        <v>39506</v>
      </c>
      <c r="D42" s="119">
        <f>VLOOKUP($A24,'Template IF 2'!$B$3:$HI$110,4,FALSE)</f>
        <v>39710</v>
      </c>
      <c r="E42" s="119">
        <f>VLOOKUP($A24,'Template IF 2'!$B$3:$HI$110,5,FALSE)</f>
        <v>39992</v>
      </c>
      <c r="F42" s="119">
        <f>VLOOKUP($A24,'Template IF 2'!$B$3:$HI$110,6,FALSE)</f>
        <v>39937</v>
      </c>
      <c r="G42" s="54"/>
      <c r="H42" s="119">
        <f>VLOOKUP($A24,'Template IF 2'!$B$3:$HI$110,7,FALSE)</f>
        <v>36431</v>
      </c>
      <c r="I42" s="119">
        <f>VLOOKUP($A24,'Template IF 2'!$B$3:$HI$110,8,FALSE)</f>
        <v>1779</v>
      </c>
      <c r="J42" s="119">
        <f>VLOOKUP($A24,'Template IF 2'!$B$3:$HI$110,9,FALSE)</f>
        <v>214</v>
      </c>
      <c r="K42" s="119">
        <f>VLOOKUP($A24,'Template IF 2'!$B$3:$HI$110,10,FALSE)</f>
        <v>561</v>
      </c>
      <c r="L42" s="119">
        <f>VLOOKUP($A24,'Template IF 2'!$B$3:$HI$110,11,FALSE)</f>
        <v>952</v>
      </c>
    </row>
    <row r="43" spans="1:24" ht="15.75" customHeight="1" x14ac:dyDescent="0.2">
      <c r="A43" s="53" t="str">
        <f>A26</f>
        <v>Big Stone County</v>
      </c>
      <c r="B43" s="120">
        <f>VLOOKUP($A26,'Template IF 2'!$B$3:$HI$110,2,FALSE)</f>
        <v>5122</v>
      </c>
      <c r="C43" s="121">
        <f>VLOOKUP($A26,'Template IF 2'!$B$3:$HI$110,3,FALSE)</f>
        <v>5127</v>
      </c>
      <c r="D43" s="121">
        <f>VLOOKUP($A26,'Template IF 2'!$B$3:$HI$110,4,FALSE)</f>
        <v>5040</v>
      </c>
      <c r="E43" s="121">
        <f>VLOOKUP($A26,'Template IF 2'!$B$3:$HI$110,5,FALSE)</f>
        <v>5050</v>
      </c>
      <c r="F43" s="121">
        <f>VLOOKUP($A26,'Template IF 2'!$B$3:$HI$110,6,FALSE)</f>
        <v>5026</v>
      </c>
      <c r="G43" s="55"/>
      <c r="H43" s="121">
        <f>VLOOKUP($A26,'Template IF 2'!$B$3:$HI$110,7,FALSE)</f>
        <v>4860</v>
      </c>
      <c r="I43" s="121">
        <f>VLOOKUP($A26,'Template IF 2'!$B$3:$HI$110,8,FALSE)</f>
        <v>34</v>
      </c>
      <c r="J43" s="121">
        <f>VLOOKUP($A26,'Template IF 2'!$B$3:$HI$110,9,FALSE)</f>
        <v>30</v>
      </c>
      <c r="K43" s="121">
        <f>VLOOKUP($A26,'Template IF 2'!$B$3:$HI$110,10,FALSE)</f>
        <v>15</v>
      </c>
      <c r="L43" s="121">
        <f>VLOOKUP($A26,'Template IF 2'!$B$3:$HI$110,11,FALSE)</f>
        <v>87</v>
      </c>
    </row>
    <row r="44" spans="1:24" ht="15.75" customHeight="1" x14ac:dyDescent="0.2">
      <c r="A44" s="52"/>
      <c r="B44" s="54"/>
      <c r="C44" s="54"/>
      <c r="D44" s="54"/>
      <c r="E44" s="54"/>
      <c r="F44" s="54"/>
      <c r="G44" s="54"/>
      <c r="H44" s="239" t="s">
        <v>511</v>
      </c>
      <c r="I44" s="54"/>
      <c r="J44" s="54"/>
      <c r="K44" s="238"/>
      <c r="L44" s="54"/>
    </row>
    <row r="45" spans="1:24" ht="15.75" customHeight="1" x14ac:dyDescent="0.2">
      <c r="A45" s="52"/>
      <c r="B45" s="54"/>
      <c r="C45" s="54"/>
      <c r="D45" s="54"/>
      <c r="E45" s="54"/>
      <c r="F45" s="54"/>
      <c r="G45" s="54"/>
      <c r="H45" s="259" t="s">
        <v>445</v>
      </c>
      <c r="I45" s="259"/>
      <c r="J45" s="259"/>
      <c r="K45" s="259"/>
      <c r="L45" s="259"/>
    </row>
    <row r="46" spans="1:24" ht="15.75" customHeight="1" x14ac:dyDescent="0.2">
      <c r="A46" s="52"/>
      <c r="B46" s="261" t="s">
        <v>446</v>
      </c>
      <c r="C46" s="261"/>
      <c r="D46" s="261"/>
      <c r="E46" s="261"/>
      <c r="F46" s="261"/>
      <c r="G46" s="54"/>
      <c r="H46" s="269"/>
      <c r="I46" s="269"/>
      <c r="J46" s="269"/>
      <c r="K46" s="269"/>
      <c r="L46" s="269"/>
    </row>
    <row r="47" spans="1:24" ht="15.75" customHeight="1" x14ac:dyDescent="0.2">
      <c r="A47" s="53"/>
      <c r="B47" s="55">
        <f>'Template IF 2'!M2</f>
        <v>2013</v>
      </c>
      <c r="C47" s="55">
        <f>'Template IF 2'!N2</f>
        <v>2014</v>
      </c>
      <c r="D47" s="55">
        <f>'Template IF 2'!O2</f>
        <v>2015</v>
      </c>
      <c r="E47" s="55">
        <f>'Template IF 2'!P2</f>
        <v>2016</v>
      </c>
      <c r="F47" s="55">
        <f>'Template IF 2'!Q2</f>
        <v>2017</v>
      </c>
      <c r="G47" s="27"/>
      <c r="H47" s="55">
        <f>'Template IF 2'!R2</f>
        <v>2013</v>
      </c>
      <c r="I47" s="55">
        <f>'Template IF 2'!S2</f>
        <v>2014</v>
      </c>
      <c r="J47" s="55">
        <f>'Template IF 2'!T2</f>
        <v>2015</v>
      </c>
      <c r="K47" s="55">
        <f>'Template IF 2'!U2</f>
        <v>2016</v>
      </c>
      <c r="L47" s="55">
        <f>'Template IF 2'!V2</f>
        <v>2017</v>
      </c>
      <c r="X47"/>
    </row>
    <row r="48" spans="1:24" ht="15.75" customHeight="1" x14ac:dyDescent="0.2">
      <c r="A48" s="52" t="s">
        <v>22</v>
      </c>
      <c r="B48" s="122">
        <f>'Template IF 2'!M3</f>
        <v>2132670</v>
      </c>
      <c r="C48" s="122">
        <f>'Template IF 2'!N3</f>
        <v>2149023</v>
      </c>
      <c r="D48" s="122">
        <f>'Template IF 2'!O3</f>
        <v>2163531</v>
      </c>
      <c r="E48" s="122">
        <f>'Template IF 2'!P3</f>
        <v>2185172</v>
      </c>
      <c r="F48" s="57">
        <f>'Template IF 2'!Q3</f>
        <v>2201400</v>
      </c>
      <c r="G48" s="27"/>
      <c r="H48" s="61">
        <f>'Template IF 2'!R3</f>
        <v>21</v>
      </c>
      <c r="I48" s="61">
        <f>'Template IF 2'!S3</f>
        <v>21.6</v>
      </c>
      <c r="J48" s="61">
        <f>'Template IF 2'!T3</f>
        <v>22.291499999999999</v>
      </c>
      <c r="K48" s="61">
        <f>'Template IF 2'!U3</f>
        <v>23.023266493781271</v>
      </c>
      <c r="L48" s="176">
        <f>'Template IF 2'!V3</f>
        <v>23.673309544685726</v>
      </c>
      <c r="M48" s="24"/>
      <c r="N48" s="24"/>
      <c r="O48" s="24"/>
      <c r="P48" s="24"/>
      <c r="Q48" s="24"/>
      <c r="S48" s="24"/>
      <c r="T48" s="24"/>
      <c r="U48" s="24"/>
      <c r="V48" s="24"/>
      <c r="W48" s="24"/>
    </row>
    <row r="49" spans="1:24" ht="15.75" customHeight="1" x14ac:dyDescent="0.2">
      <c r="A49" s="52" t="str">
        <f>A16</f>
        <v>Aitkin, Itasca, Koochiching</v>
      </c>
      <c r="B49" s="119">
        <f>VLOOKUP($A16,'Template IF 2'!$B$3:$HI$110,12,FALSE)</f>
        <v>32047</v>
      </c>
      <c r="C49" s="119">
        <f>VLOOKUP($A16,'Template IF 2'!$B$3:$HI$110,13,FALSE)</f>
        <v>32104</v>
      </c>
      <c r="D49" s="119">
        <f>VLOOKUP($A16,'Template IF 2'!$B$3:$HI$110,14,FALSE)</f>
        <v>32232</v>
      </c>
      <c r="E49" s="119">
        <f>VLOOKUP($A16,'Template IF 2'!$B$3:$HI$110,15,FALSE)</f>
        <v>32308</v>
      </c>
      <c r="F49" s="58">
        <f>VLOOKUP($A16,'Template IF 2'!$B$3:$HI$110,16,FALSE)</f>
        <v>32405</v>
      </c>
      <c r="G49" s="54"/>
      <c r="H49" s="62">
        <f>VLOOKUP($A16,'Template IF 2'!$B$3:$HI$110,17,FALSE)</f>
        <v>36.700000000000003</v>
      </c>
      <c r="I49" s="62">
        <f>VLOOKUP($A16,'Template IF 2'!$B$3:$HI$110,18,FALSE)</f>
        <v>38</v>
      </c>
      <c r="J49" s="62">
        <f>VLOOKUP($A16,'Template IF 2'!$B$3:$HI$110,19,FALSE)</f>
        <v>39.025047131699438</v>
      </c>
      <c r="K49" s="62">
        <f>VLOOKUP($A16,'Template IF 2'!$B$3:$HI$110,20,FALSE)</f>
        <v>40.508118956394817</v>
      </c>
      <c r="L49" s="81">
        <f>VLOOKUP($A16,'Template IF 2'!$B$3:$HI$110,21,FALSE)</f>
        <v>42.542087153315009</v>
      </c>
      <c r="M49" s="24"/>
      <c r="N49" s="24"/>
      <c r="O49" s="24"/>
      <c r="P49" s="24"/>
      <c r="Q49" s="24"/>
      <c r="S49" s="24"/>
      <c r="T49" s="24"/>
      <c r="U49" s="24"/>
      <c r="V49" s="24"/>
      <c r="W49" s="24"/>
      <c r="X49" s="24"/>
    </row>
    <row r="50" spans="1:24" ht="15.75" customHeight="1" x14ac:dyDescent="0.2">
      <c r="A50" s="52" t="str">
        <f>A18</f>
        <v>Anoka County</v>
      </c>
      <c r="B50" s="119">
        <f>VLOOKUP($A18,'Template IF 2'!$B$3:$HI$110,12,FALSE)</f>
        <v>124747</v>
      </c>
      <c r="C50" s="119">
        <f>VLOOKUP($A18,'Template IF 2'!$B$3:$HI$110,13,FALSE)</f>
        <v>125357</v>
      </c>
      <c r="D50" s="119">
        <f>VLOOKUP($A18,'Template IF 2'!$B$3:$HI$110,14,FALSE)</f>
        <v>126569</v>
      </c>
      <c r="E50" s="119">
        <f>VLOOKUP($A18,'Template IF 2'!$B$3:$HI$110,15,FALSE)</f>
        <v>128135</v>
      </c>
      <c r="F50" s="58">
        <f>VLOOKUP($A18,'Template IF 2'!$B$3:$HI$110,16,FALSE)</f>
        <v>129391</v>
      </c>
      <c r="G50" s="54"/>
      <c r="H50" s="62">
        <f>VLOOKUP($A18,'Template IF 2'!$B$3:$HI$110,17,FALSE)</f>
        <v>16.600000000000001</v>
      </c>
      <c r="I50" s="62">
        <f>VLOOKUP($A18,'Template IF 2'!$B$3:$HI$110,18,FALSE)</f>
        <v>17.5</v>
      </c>
      <c r="J50" s="62">
        <f>VLOOKUP($A18,'Template IF 2'!$B$3:$HI$110,19,FALSE)</f>
        <v>18.361818768139308</v>
      </c>
      <c r="K50" s="62">
        <f>VLOOKUP($A18,'Template IF 2'!$B$3:$HI$110,20,FALSE)</f>
        <v>19.208439413748021</v>
      </c>
      <c r="L50" s="81">
        <f>VLOOKUP($A18,'Template IF 2'!$B$3:$HI$110,21,FALSE)</f>
        <v>20.312746801453166</v>
      </c>
    </row>
    <row r="51" spans="1:24" ht="15.75" customHeight="1" x14ac:dyDescent="0.2">
      <c r="A51" s="52" t="str">
        <f>A20</f>
        <v>Becker County</v>
      </c>
      <c r="B51" s="119">
        <f>VLOOKUP($A20,'Template IF 2'!$B$3:$HI$110,12,FALSE)</f>
        <v>13549</v>
      </c>
      <c r="C51" s="119">
        <f>VLOOKUP($A20,'Template IF 2'!$B$3:$HI$110,13,FALSE)</f>
        <v>13620</v>
      </c>
      <c r="D51" s="119">
        <f>VLOOKUP($A20,'Template IF 2'!$B$3:$HI$110,14,FALSE)</f>
        <v>13786</v>
      </c>
      <c r="E51" s="119">
        <f>VLOOKUP($A20,'Template IF 2'!$B$3:$HI$110,15,FALSE)</f>
        <v>13928</v>
      </c>
      <c r="F51" s="58">
        <f>VLOOKUP($A20,'Template IF 2'!$B$3:$HI$110,16,FALSE)</f>
        <v>14097</v>
      </c>
      <c r="G51" s="54"/>
      <c r="H51" s="62">
        <f>VLOOKUP($A20,'Template IF 2'!$B$3:$HI$110,17,FALSE)</f>
        <v>30.9</v>
      </c>
      <c r="I51" s="62">
        <f>VLOOKUP($A20,'Template IF 2'!$B$3:$HI$110,18,FALSE)</f>
        <v>32</v>
      </c>
      <c r="J51" s="62">
        <f>VLOOKUP($A20,'Template IF 2'!$B$3:$HI$110,19,FALSE)</f>
        <v>32.570431313886807</v>
      </c>
      <c r="K51" s="62">
        <f>VLOOKUP($A20,'Template IF 2'!$B$3:$HI$110,20,FALSE)</f>
        <v>33.444036879151383</v>
      </c>
      <c r="L51" s="81">
        <f>VLOOKUP($A20,'Template IF 2'!$B$3:$HI$110,21,FALSE)</f>
        <v>33.946447063464667</v>
      </c>
    </row>
    <row r="52" spans="1:24" ht="15.75" customHeight="1" x14ac:dyDescent="0.2">
      <c r="A52" s="52" t="str">
        <f>A22</f>
        <v>Beltrami County</v>
      </c>
      <c r="B52" s="119">
        <f>VLOOKUP($A22,'Template IF 2'!$B$3:$HI$110,12,FALSE)</f>
        <v>17372</v>
      </c>
      <c r="C52" s="119">
        <f>VLOOKUP($A22,'Template IF 2'!$B$3:$HI$110,13,FALSE)</f>
        <v>17421</v>
      </c>
      <c r="D52" s="119">
        <f>VLOOKUP($A22,'Template IF 2'!$B$3:$HI$110,14,FALSE)</f>
        <v>17491</v>
      </c>
      <c r="E52" s="119">
        <f>VLOOKUP($A22,'Template IF 2'!$B$3:$HI$110,15,FALSE)</f>
        <v>17592</v>
      </c>
      <c r="F52" s="58">
        <f>VLOOKUP($A22,'Template IF 2'!$B$3:$HI$110,16,FALSE)</f>
        <v>17912</v>
      </c>
      <c r="G52" s="54"/>
      <c r="H52" s="62">
        <f>VLOOKUP($A22,'Template IF 2'!$B$3:$HI$110,17,FALSE)</f>
        <v>21.6</v>
      </c>
      <c r="I52" s="62">
        <f>VLOOKUP($A22,'Template IF 2'!$B$3:$HI$110,18,FALSE)</f>
        <v>22.5</v>
      </c>
      <c r="J52" s="62">
        <f>VLOOKUP($A22,'Template IF 2'!$B$3:$HI$110,19,FALSE)</f>
        <v>23.469949112914318</v>
      </c>
      <c r="K52" s="62">
        <f>VLOOKUP($A22,'Template IF 2'!$B$3:$HI$110,20,FALSE)</f>
        <v>24.479560288560631</v>
      </c>
      <c r="L52" s="81">
        <f>VLOOKUP($A22,'Template IF 2'!$B$3:$HI$110,21,FALSE)</f>
        <v>24.747871867628458</v>
      </c>
    </row>
    <row r="53" spans="1:24" ht="15.75" customHeight="1" x14ac:dyDescent="0.2">
      <c r="A53" s="52" t="str">
        <f>A24</f>
        <v>Benton County</v>
      </c>
      <c r="B53" s="119">
        <f>VLOOKUP($A24,'Template IF 2'!$B$3:$HI$110,12,FALSE)</f>
        <v>15445</v>
      </c>
      <c r="C53" s="119">
        <f>VLOOKUP($A24,'Template IF 2'!$B$3:$HI$110,13,FALSE)</f>
        <v>15598</v>
      </c>
      <c r="D53" s="119">
        <f>VLOOKUP($A24,'Template IF 2'!$B$3:$HI$110,14,FALSE)</f>
        <v>15686</v>
      </c>
      <c r="E53" s="119">
        <f>VLOOKUP($A24,'Template IF 2'!$B$3:$HI$110,15,FALSE)</f>
        <v>15842</v>
      </c>
      <c r="F53" s="58">
        <f>VLOOKUP($A24,'Template IF 2'!$B$3:$HI$110,16,FALSE)</f>
        <v>16012</v>
      </c>
      <c r="G53" s="54"/>
      <c r="H53" s="62">
        <f>VLOOKUP($A24,'Template IF 2'!$B$3:$HI$110,17,FALSE)</f>
        <v>20</v>
      </c>
      <c r="I53" s="62">
        <f>VLOOKUP($A24,'Template IF 2'!$B$3:$HI$110,18,FALSE)</f>
        <v>20.6</v>
      </c>
      <c r="J53" s="62">
        <f>VLOOKUP($A24,'Template IF 2'!$B$3:$HI$110,19,FALSE)</f>
        <v>21.69450981905166</v>
      </c>
      <c r="K53" s="62">
        <f>VLOOKUP($A24,'Template IF 2'!$B$3:$HI$110,20,FALSE)</f>
        <v>22.665633475397133</v>
      </c>
      <c r="L53" s="81">
        <f>VLOOKUP($A24,'Template IF 2'!$B$3:$HI$110,21,FALSE)</f>
        <v>21.186244204018546</v>
      </c>
    </row>
    <row r="54" spans="1:24" ht="15.75" customHeight="1" x14ac:dyDescent="0.2">
      <c r="A54" s="53" t="str">
        <f>A26</f>
        <v>Big Stone County</v>
      </c>
      <c r="B54" s="121">
        <f>VLOOKUP($A26,'Template IF 2'!$B$3:$HI$110,12,FALSE)</f>
        <v>2245</v>
      </c>
      <c r="C54" s="121">
        <f>VLOOKUP($A26,'Template IF 2'!$B$3:$HI$110,13,FALSE)</f>
        <v>2246</v>
      </c>
      <c r="D54" s="121">
        <f>VLOOKUP($A26,'Template IF 2'!$B$3:$HI$110,14,FALSE)</f>
        <v>2235</v>
      </c>
      <c r="E54" s="121">
        <f>VLOOKUP($A26,'Template IF 2'!$B$3:$HI$110,15,FALSE)</f>
        <v>2239</v>
      </c>
      <c r="F54" s="59">
        <f>VLOOKUP($A26,'Template IF 2'!$B$3:$HI$110,16,FALSE)</f>
        <v>2240</v>
      </c>
      <c r="G54" s="55"/>
      <c r="H54" s="63">
        <f>VLOOKUP($A26,'Template IF 2'!$B$3:$HI$110,17,FALSE)</f>
        <v>44.6</v>
      </c>
      <c r="I54" s="63">
        <f>VLOOKUP($A26,'Template IF 2'!$B$3:$HI$110,18,FALSE)</f>
        <v>44.9</v>
      </c>
      <c r="J54" s="63">
        <f>VLOOKUP($A26,'Template IF 2'!$B$3:$HI$110,19,FALSE)</f>
        <v>45.759162303664922</v>
      </c>
      <c r="K54" s="63">
        <f>VLOOKUP($A26,'Template IF 2'!$B$3:$HI$110,20,FALSE)</f>
        <v>45.350052246603973</v>
      </c>
      <c r="L54" s="82">
        <f>VLOOKUP($A26,'Template IF 2'!$B$3:$HI$110,21,FALSE)</f>
        <v>44.895104895104893</v>
      </c>
    </row>
    <row r="55" spans="1:24" ht="15.75" customHeight="1" x14ac:dyDescent="0.2">
      <c r="A55" s="64"/>
      <c r="B55" s="54"/>
      <c r="C55" s="54"/>
      <c r="D55" s="54"/>
      <c r="E55" s="54"/>
      <c r="F55" s="54"/>
      <c r="G55" s="54"/>
      <c r="H55" s="65"/>
      <c r="I55" s="65"/>
      <c r="J55" s="65"/>
      <c r="K55" s="65"/>
      <c r="L55" s="65"/>
    </row>
    <row r="56" spans="1:24" ht="15.75" customHeight="1" x14ac:dyDescent="0.2">
      <c r="A56" s="52"/>
      <c r="B56" s="259" t="s">
        <v>447</v>
      </c>
      <c r="C56" s="259"/>
      <c r="D56" s="259"/>
      <c r="E56" s="259"/>
      <c r="F56" s="259"/>
      <c r="G56" s="54"/>
      <c r="H56" s="259" t="s">
        <v>448</v>
      </c>
      <c r="I56" s="259"/>
      <c r="J56" s="259"/>
      <c r="K56" s="259"/>
      <c r="L56" s="259"/>
    </row>
    <row r="57" spans="1:24" ht="15.75" customHeight="1" x14ac:dyDescent="0.2">
      <c r="A57" s="52"/>
      <c r="B57" s="269"/>
      <c r="C57" s="269"/>
      <c r="D57" s="269"/>
      <c r="E57" s="269"/>
      <c r="F57" s="269"/>
      <c r="G57" s="27"/>
      <c r="H57" s="269"/>
      <c r="I57" s="269"/>
      <c r="J57" s="269"/>
      <c r="K57" s="269"/>
      <c r="L57" s="269"/>
    </row>
    <row r="58" spans="1:24" ht="15.75" customHeight="1" x14ac:dyDescent="0.2">
      <c r="A58" s="53"/>
      <c r="B58" s="55">
        <f>'Template IF 2'!W2</f>
        <v>2013</v>
      </c>
      <c r="C58" s="55">
        <f>'Template IF 2'!X2</f>
        <v>2014</v>
      </c>
      <c r="D58" s="55">
        <f>'Template IF 2'!Y2</f>
        <v>2015</v>
      </c>
      <c r="E58" s="55">
        <f>'Template IF 2'!Z2</f>
        <v>2016</v>
      </c>
      <c r="F58" s="55">
        <f>'Template IF 2'!AA2</f>
        <v>2017</v>
      </c>
      <c r="G58" s="27"/>
      <c r="H58" s="55">
        <f>'Template IF 2'!AB2</f>
        <v>2013</v>
      </c>
      <c r="I58" s="55">
        <f>'Template IF 2'!AC2</f>
        <v>2014</v>
      </c>
      <c r="J58" s="55">
        <f>'Template IF 2'!AD2</f>
        <v>2015</v>
      </c>
      <c r="K58" s="55">
        <f>'Template IF 2'!AE2</f>
        <v>2016</v>
      </c>
      <c r="L58" s="55">
        <f>'Template IF 2'!AF2</f>
        <v>2017</v>
      </c>
    </row>
    <row r="59" spans="1:24" ht="15.75" customHeight="1" x14ac:dyDescent="0.2">
      <c r="A59" s="52" t="s">
        <v>22</v>
      </c>
      <c r="B59" s="61">
        <f>'Template IF 2'!W3</f>
        <v>29.6</v>
      </c>
      <c r="C59" s="61">
        <f>'Template IF 2'!X3</f>
        <v>29.6</v>
      </c>
      <c r="D59" s="61">
        <f>'Template IF 2'!Y3</f>
        <v>29.601209255017675</v>
      </c>
      <c r="E59" s="61">
        <f>'Template IF 2'!Z3</f>
        <v>29.684075639481389</v>
      </c>
      <c r="F59" s="176">
        <f>'Template IF 2'!AA3</f>
        <v>29.797207558427218</v>
      </c>
      <c r="G59" s="54"/>
      <c r="H59" s="61">
        <f>'Template IF 2'!AB3</f>
        <v>50.6</v>
      </c>
      <c r="I59" s="61">
        <f>'Template IF 2'!AC3</f>
        <v>51.2</v>
      </c>
      <c r="J59" s="61">
        <f>'Template IF 2'!AD3</f>
        <v>51.892712096921912</v>
      </c>
      <c r="K59" s="61">
        <f>'Template IF 2'!AE3</f>
        <v>52.707342133262657</v>
      </c>
      <c r="L59" s="176">
        <f>'Template IF 2'!AF3</f>
        <v>53.470517103112947</v>
      </c>
      <c r="M59" s="24"/>
      <c r="N59" s="24"/>
      <c r="O59" s="24"/>
      <c r="P59" s="24"/>
      <c r="Q59" s="24"/>
      <c r="S59" s="24"/>
      <c r="T59" s="24"/>
      <c r="U59" s="24"/>
      <c r="V59" s="24"/>
      <c r="W59" s="24"/>
    </row>
    <row r="60" spans="1:24" ht="15.75" customHeight="1" x14ac:dyDescent="0.2">
      <c r="A60" s="52" t="str">
        <f>A16</f>
        <v>Aitkin, Itasca, Koochiching</v>
      </c>
      <c r="B60" s="62">
        <f>VLOOKUP($A16,'Template IF 2'!$B$3:$HI$110,22,FALSE)</f>
        <v>27.1</v>
      </c>
      <c r="C60" s="62">
        <f>VLOOKUP($A16,'Template IF 2'!$B$3:$HI$110,23,FALSE)</f>
        <v>26.9</v>
      </c>
      <c r="D60" s="62">
        <f>VLOOKUP($A16,'Template IF 2'!$B$3:$HI$110,24,FALSE)</f>
        <v>27.00870814256217</v>
      </c>
      <c r="E60" s="62">
        <f>VLOOKUP($A16,'Template IF 2'!$B$3:$HI$110,25,FALSE)</f>
        <v>27.00921364714468</v>
      </c>
      <c r="F60" s="81">
        <f>VLOOKUP($A16,'Template IF 2'!$B$3:$HI$110,26,FALSE)</f>
        <v>27.17825554811445</v>
      </c>
      <c r="G60" s="54"/>
      <c r="H60" s="62">
        <f>VLOOKUP($A16,'Template IF 2'!$B$3:$HI$110,27,FALSE)</f>
        <v>63.9</v>
      </c>
      <c r="I60" s="62">
        <f>VLOOKUP($A16,'Template IF 2'!$B$3:$HI$110,28,FALSE)</f>
        <v>64.900000000000006</v>
      </c>
      <c r="J60" s="62">
        <f>VLOOKUP($A16,'Template IF 2'!$B$3:$HI$110,29,FALSE)</f>
        <v>66.033755274261608</v>
      </c>
      <c r="K60" s="62">
        <f>VLOOKUP($A16,'Template IF 2'!$B$3:$HI$110,30,FALSE)</f>
        <v>67.517332603539501</v>
      </c>
      <c r="L60" s="81">
        <f>VLOOKUP($A16,'Template IF 2'!$B$3:$HI$110,31,FALSE)</f>
        <v>69.720342701429459</v>
      </c>
      <c r="M60" s="24"/>
      <c r="N60" s="24"/>
      <c r="O60" s="24"/>
      <c r="P60" s="24"/>
      <c r="Q60" s="24"/>
      <c r="S60" s="24"/>
      <c r="T60" s="24"/>
      <c r="U60" s="24"/>
      <c r="V60" s="24"/>
      <c r="X60" s="24"/>
    </row>
    <row r="61" spans="1:24" ht="15.75" customHeight="1" x14ac:dyDescent="0.2">
      <c r="A61" s="52" t="str">
        <f>A18</f>
        <v>Anoka County</v>
      </c>
      <c r="B61" s="62">
        <f>VLOOKUP($A18,'Template IF 2'!$B$3:$HI$110,22,FALSE)</f>
        <v>29.9</v>
      </c>
      <c r="C61" s="62">
        <f>VLOOKUP($A18,'Template IF 2'!$B$3:$HI$110,23,FALSE)</f>
        <v>29.6</v>
      </c>
      <c r="D61" s="62">
        <f>VLOOKUP($A18,'Template IF 2'!$B$3:$HI$110,24,FALSE)</f>
        <v>29.612383102225088</v>
      </c>
      <c r="E61" s="62">
        <f>VLOOKUP($A18,'Template IF 2'!$B$3:$HI$110,25,FALSE)</f>
        <v>29.572352576893969</v>
      </c>
      <c r="F61" s="81">
        <f>VLOOKUP($A18,'Template IF 2'!$B$3:$HI$110,26,FALSE)</f>
        <v>29.688320448074041</v>
      </c>
      <c r="G61" s="54"/>
      <c r="H61" s="62">
        <f>VLOOKUP($A18,'Template IF 2'!$B$3:$HI$110,27,FALSE)</f>
        <v>46.5</v>
      </c>
      <c r="I61" s="62">
        <f>VLOOKUP($A18,'Template IF 2'!$B$3:$HI$110,28,FALSE)</f>
        <v>47.2</v>
      </c>
      <c r="J61" s="62">
        <f>VLOOKUP($A18,'Template IF 2'!$B$3:$HI$110,29,FALSE)</f>
        <v>47.974201870364396</v>
      </c>
      <c r="K61" s="62">
        <f>VLOOKUP($A18,'Template IF 2'!$B$3:$HI$110,30,FALSE)</f>
        <v>48.780791990641987</v>
      </c>
      <c r="L61" s="81">
        <f>VLOOKUP($A18,'Template IF 2'!$B$3:$HI$110,31,FALSE)</f>
        <v>50.00106724952721</v>
      </c>
    </row>
    <row r="62" spans="1:24" ht="15.75" customHeight="1" x14ac:dyDescent="0.2">
      <c r="A62" s="52" t="str">
        <f>A20</f>
        <v>Becker County</v>
      </c>
      <c r="B62" s="62">
        <f>VLOOKUP($A20,'Template IF 2'!$B$3:$HI$110,22,FALSE)</f>
        <v>33.299999999999997</v>
      </c>
      <c r="C62" s="62">
        <f>VLOOKUP($A20,'Template IF 2'!$B$3:$HI$110,23,FALSE)</f>
        <v>33.700000000000003</v>
      </c>
      <c r="D62" s="62">
        <f>VLOOKUP($A20,'Template IF 2'!$B$3:$HI$110,24,FALSE)</f>
        <v>33.901770132136619</v>
      </c>
      <c r="E62" s="62">
        <f>VLOOKUP($A20,'Template IF 2'!$B$3:$HI$110,25,FALSE)</f>
        <v>33.771190641419651</v>
      </c>
      <c r="F62" s="81">
        <f>VLOOKUP($A20,'Template IF 2'!$B$3:$HI$110,26,FALSE)</f>
        <v>34.197938754376452</v>
      </c>
      <c r="G62" s="54"/>
      <c r="H62" s="62">
        <f>VLOOKUP($A20,'Template IF 2'!$B$3:$HI$110,27,FALSE)</f>
        <v>64.2</v>
      </c>
      <c r="I62" s="62">
        <f>VLOOKUP($A20,'Template IF 2'!$B$3:$HI$110,28,FALSE)</f>
        <v>65.7</v>
      </c>
      <c r="J62" s="62">
        <f>VLOOKUP($A20,'Template IF 2'!$B$3:$HI$110,29,FALSE)</f>
        <v>66.472201446023433</v>
      </c>
      <c r="K62" s="62">
        <f>VLOOKUP($A20,'Template IF 2'!$B$3:$HI$110,30,FALSE)</f>
        <v>67.215227520571034</v>
      </c>
      <c r="L62" s="81">
        <f>VLOOKUP($A20,'Template IF 2'!$B$3:$HI$110,31,FALSE)</f>
        <v>68.144385817841112</v>
      </c>
    </row>
    <row r="63" spans="1:24" ht="15.75" customHeight="1" x14ac:dyDescent="0.2">
      <c r="A63" s="52" t="str">
        <f>A22</f>
        <v>Beltrami County</v>
      </c>
      <c r="B63" s="62">
        <f>VLOOKUP($A22,'Template IF 2'!$B$3:$HI$110,22,FALSE)</f>
        <v>33.200000000000003</v>
      </c>
      <c r="C63" s="62">
        <f>VLOOKUP($A22,'Template IF 2'!$B$3:$HI$110,23,FALSE)</f>
        <v>33.700000000000003</v>
      </c>
      <c r="D63" s="62">
        <f>VLOOKUP($A22,'Template IF 2'!$B$3:$HI$110,24,FALSE)</f>
        <v>33.564846651079634</v>
      </c>
      <c r="E63" s="62">
        <f>VLOOKUP($A22,'Template IF 2'!$B$3:$HI$110,25,FALSE)</f>
        <v>33.905874270010308</v>
      </c>
      <c r="F63" s="81">
        <f>VLOOKUP($A22,'Template IF 2'!$B$3:$HI$110,26,FALSE)</f>
        <v>34.265495196745412</v>
      </c>
      <c r="G63" s="54"/>
      <c r="H63" s="62">
        <f>VLOOKUP($A22,'Template IF 2'!$B$3:$HI$110,27,FALSE)</f>
        <v>54.8</v>
      </c>
      <c r="I63" s="62">
        <f>VLOOKUP($A22,'Template IF 2'!$B$3:$HI$110,28,FALSE)</f>
        <v>56.2</v>
      </c>
      <c r="J63" s="62">
        <f>VLOOKUP($A22,'Template IF 2'!$B$3:$HI$110,29,FALSE)</f>
        <v>57.034795763993948</v>
      </c>
      <c r="K63" s="62">
        <f>VLOOKUP($A22,'Template IF 2'!$B$3:$HI$110,30,FALSE)</f>
        <v>58.385434558570935</v>
      </c>
      <c r="L63" s="81">
        <f>VLOOKUP($A22,'Template IF 2'!$B$3:$HI$110,31,FALSE)</f>
        <v>59.013367064373867</v>
      </c>
    </row>
    <row r="64" spans="1:24" ht="15.75" customHeight="1" x14ac:dyDescent="0.2">
      <c r="A64" s="52" t="str">
        <f>A24</f>
        <v>Benton County</v>
      </c>
      <c r="B64" s="62">
        <f>VLOOKUP($A24,'Template IF 2'!$B$3:$HI$110,22,FALSE)</f>
        <v>31.2</v>
      </c>
      <c r="C64" s="62">
        <f>VLOOKUP($A24,'Template IF 2'!$B$3:$HI$110,23,FALSE)</f>
        <v>31.8</v>
      </c>
      <c r="D64" s="62">
        <f>VLOOKUP($A24,'Template IF 2'!$B$3:$HI$110,24,FALSE)</f>
        <v>31.513561479995371</v>
      </c>
      <c r="E64" s="62">
        <f>VLOOKUP($A24,'Template IF 2'!$B$3:$HI$110,25,FALSE)</f>
        <v>32.282061216582719</v>
      </c>
      <c r="F64" s="81">
        <f>VLOOKUP($A24,'Template IF 2'!$B$3:$HI$110,26,FALSE)</f>
        <v>33.129829984544052</v>
      </c>
      <c r="G64" s="54"/>
      <c r="H64" s="62">
        <f>VLOOKUP($A24,'Template IF 2'!$B$3:$HI$110,27,FALSE)</f>
        <v>51.2</v>
      </c>
      <c r="I64" s="62">
        <f>VLOOKUP($A24,'Template IF 2'!$B$3:$HI$110,28,FALSE)</f>
        <v>52.5</v>
      </c>
      <c r="J64" s="62">
        <f>VLOOKUP($A24,'Template IF 2'!$B$3:$HI$110,29,FALSE)</f>
        <v>53.208071299047035</v>
      </c>
      <c r="K64" s="62">
        <f>VLOOKUP($A24,'Template IF 2'!$B$3:$HI$110,30,FALSE)</f>
        <v>54.947694691979855</v>
      </c>
      <c r="L64" s="81">
        <f>VLOOKUP($A24,'Template IF 2'!$B$3:$HI$110,31,FALSE)</f>
        <v>54.316074188562602</v>
      </c>
    </row>
    <row r="65" spans="1:12" ht="15.75" customHeight="1" x14ac:dyDescent="0.2">
      <c r="A65" s="53" t="str">
        <f>A26</f>
        <v>Big Stone County</v>
      </c>
      <c r="B65" s="63">
        <f>VLOOKUP($A26,'Template IF 2'!$B$3:$HI$110,22,FALSE)</f>
        <v>28.6</v>
      </c>
      <c r="C65" s="63">
        <f>VLOOKUP($A26,'Template IF 2'!$B$3:$HI$110,23,FALSE)</f>
        <v>30</v>
      </c>
      <c r="D65" s="63">
        <f>VLOOKUP($A26,'Template IF 2'!$B$3:$HI$110,24,FALSE)</f>
        <v>30.157068062827225</v>
      </c>
      <c r="E65" s="63">
        <f>VLOOKUP($A26,'Template IF 2'!$B$3:$HI$110,25,FALSE)</f>
        <v>30.546847788227101</v>
      </c>
      <c r="F65" s="82">
        <f>VLOOKUP($A26,'Template IF 2'!$B$3:$HI$110,26,FALSE)</f>
        <v>30.83916083916084</v>
      </c>
      <c r="G65" s="55"/>
      <c r="H65" s="63">
        <f>VLOOKUP($A26,'Template IF 2'!$B$3:$HI$110,27,FALSE)</f>
        <v>73.2</v>
      </c>
      <c r="I65" s="63">
        <f>VLOOKUP($A26,'Template IF 2'!$B$3:$HI$110,28,FALSE)</f>
        <v>74.900000000000006</v>
      </c>
      <c r="J65" s="63">
        <f>VLOOKUP($A26,'Template IF 2'!$B$3:$HI$110,29,FALSE)</f>
        <v>75.916230366492144</v>
      </c>
      <c r="K65" s="63">
        <f>VLOOKUP($A26,'Template IF 2'!$B$3:$HI$110,30,FALSE)</f>
        <v>75.896900034831077</v>
      </c>
      <c r="L65" s="82">
        <f>VLOOKUP($A26,'Template IF 2'!$B$3:$HI$110,31,FALSE)</f>
        <v>75.734265734265733</v>
      </c>
    </row>
    <row r="66" spans="1:12" ht="15.75" customHeight="1" x14ac:dyDescent="0.2">
      <c r="A66" s="52"/>
      <c r="B66" s="62"/>
      <c r="C66" s="62"/>
      <c r="D66" s="62"/>
      <c r="E66" s="62"/>
      <c r="F66" s="62"/>
      <c r="G66" s="54"/>
      <c r="H66" s="62"/>
      <c r="I66" s="62"/>
      <c r="J66" s="62"/>
      <c r="K66" s="62"/>
      <c r="L66" s="62"/>
    </row>
    <row r="67" spans="1:12" ht="17.25" customHeight="1" x14ac:dyDescent="0.2">
      <c r="A67" s="268" t="s">
        <v>146</v>
      </c>
      <c r="B67" s="268"/>
      <c r="C67" s="268"/>
      <c r="D67" s="268"/>
      <c r="E67" s="268"/>
      <c r="F67" s="268"/>
      <c r="G67" s="268"/>
      <c r="H67" s="268"/>
      <c r="I67" s="268"/>
      <c r="J67" s="268"/>
      <c r="K67" s="268"/>
      <c r="L67" s="268"/>
    </row>
    <row r="68" spans="1:12" x14ac:dyDescent="0.2">
      <c r="A68" s="52"/>
      <c r="B68" s="66"/>
      <c r="C68" s="66"/>
      <c r="D68" s="66"/>
      <c r="E68" s="66"/>
      <c r="F68" s="66"/>
      <c r="G68" s="54"/>
      <c r="H68" s="54"/>
      <c r="I68" s="54"/>
      <c r="J68" s="54"/>
      <c r="K68" s="54"/>
      <c r="L68" s="54"/>
    </row>
    <row r="69" spans="1:12" x14ac:dyDescent="0.2">
      <c r="A69" s="52"/>
      <c r="B69" s="54"/>
      <c r="C69" s="54"/>
      <c r="D69" s="54"/>
      <c r="E69" s="54"/>
      <c r="F69" s="54"/>
      <c r="G69" s="54"/>
      <c r="H69" s="259" t="s">
        <v>449</v>
      </c>
      <c r="I69" s="260"/>
      <c r="J69" s="260"/>
      <c r="K69" s="260"/>
      <c r="L69" s="260"/>
    </row>
    <row r="70" spans="1:12" ht="15" customHeight="1" x14ac:dyDescent="0.2">
      <c r="A70" s="52"/>
      <c r="B70" s="261" t="s">
        <v>450</v>
      </c>
      <c r="C70" s="261"/>
      <c r="D70" s="261"/>
      <c r="E70" s="261"/>
      <c r="F70" s="261"/>
      <c r="G70" s="27"/>
      <c r="H70" s="261"/>
      <c r="I70" s="261"/>
      <c r="J70" s="261"/>
      <c r="K70" s="261"/>
      <c r="L70" s="261"/>
    </row>
    <row r="71" spans="1:12" ht="15" customHeight="1" x14ac:dyDescent="0.2">
      <c r="A71" s="53"/>
      <c r="B71" s="55">
        <f>'Template IF 2'!AG2</f>
        <v>2013</v>
      </c>
      <c r="C71" s="55">
        <f>'Template IF 2'!AH2</f>
        <v>2014</v>
      </c>
      <c r="D71" s="55">
        <f>'Template IF 2'!AI2</f>
        <v>2015</v>
      </c>
      <c r="E71" s="55">
        <f>'Template IF 2'!AJ2</f>
        <v>2016</v>
      </c>
      <c r="F71" s="55">
        <f>'Template IF 2'!AK2</f>
        <v>2017</v>
      </c>
      <c r="G71" s="27"/>
      <c r="H71" s="55">
        <f>'Template IF 2'!AL2</f>
        <v>2013</v>
      </c>
      <c r="I71" s="55">
        <f>'Template IF 2'!AM2</f>
        <v>2014</v>
      </c>
      <c r="J71" s="55">
        <f>'Template IF 2'!AN2</f>
        <v>2015</v>
      </c>
      <c r="K71" s="55">
        <f>'Template IF 2'!AO2</f>
        <v>2016</v>
      </c>
      <c r="L71" s="55">
        <f>'Template IF 2'!AP2</f>
        <v>2017</v>
      </c>
    </row>
    <row r="72" spans="1:12" ht="15.75" customHeight="1" x14ac:dyDescent="0.2">
      <c r="A72" s="52" t="s">
        <v>22</v>
      </c>
      <c r="B72" s="65">
        <f>'Template IF 2'!AG3</f>
        <v>5.0999999999999996</v>
      </c>
      <c r="C72" s="65">
        <f>'Template IF 2'!AH3</f>
        <v>4.0894991938751319</v>
      </c>
      <c r="D72" s="65">
        <f>'Template IF 2'!AI3</f>
        <v>3.7</v>
      </c>
      <c r="E72" s="65">
        <f>'Template IF 2'!AJ3</f>
        <v>3.8300533214341042</v>
      </c>
      <c r="F72" s="65">
        <f>'Template IF 2'!AK3</f>
        <v>3.6</v>
      </c>
      <c r="G72" s="86"/>
      <c r="H72" s="124">
        <f>'Template IF 2'!AL3</f>
        <v>259246</v>
      </c>
      <c r="I72" s="124">
        <f>'Template IF 2'!AM3</f>
        <v>235789</v>
      </c>
      <c r="J72" s="124">
        <f>'Template IF 2'!AN3</f>
        <v>222327.83333333328</v>
      </c>
      <c r="K72" s="124">
        <f>'Template IF 2'!AO3</f>
        <v>215155.33333333331</v>
      </c>
      <c r="L72" s="187">
        <f>'Template IF 2'!AP3</f>
        <v>209265.08333333334</v>
      </c>
    </row>
    <row r="73" spans="1:12" ht="15.75" customHeight="1" x14ac:dyDescent="0.2">
      <c r="A73" s="52" t="str">
        <f>A16</f>
        <v>Aitkin, Itasca, Koochiching</v>
      </c>
      <c r="B73" s="68">
        <f>VLOOKUP($A16,'Template IF 2'!$B$3:$HI$110,32,FALSE)</f>
        <v>7.6215434171375538</v>
      </c>
      <c r="C73" s="68">
        <f>VLOOKUP($A16,'Template IF 2'!$B$3:$HI$110,33,FALSE)</f>
        <v>6.8085590065641783</v>
      </c>
      <c r="D73" s="68">
        <f>VLOOKUP($A16,'Template IF 2'!$B$3:$HI$110,34,FALSE)</f>
        <v>6.6606962946378596</v>
      </c>
      <c r="E73" s="68">
        <f>VLOOKUP($A16,'Template IF 2'!$B$3:$HI$110,35,FALSE)</f>
        <v>8.3059703623333245</v>
      </c>
      <c r="F73" s="68">
        <f>VLOOKUP($A16,'Template IF 2'!$B$3:$HI$110,36,FALSE)</f>
        <v>7.1916223096505441</v>
      </c>
      <c r="G73" s="60"/>
      <c r="H73" s="148">
        <f>VLOOKUP($A16,'Template IF 2'!$B$3:$HI$110,37,FALSE)</f>
        <v>4710.75</v>
      </c>
      <c r="I73" s="148">
        <f>VLOOKUP($A16,'Template IF 2'!$B$3:$HI$110,38,FALSE)</f>
        <v>4329.75</v>
      </c>
      <c r="J73" s="148">
        <f>VLOOKUP($A16,'Template IF 2'!$B$3:$HI$110,39,FALSE)</f>
        <v>4062.6666666666665</v>
      </c>
      <c r="K73" s="148">
        <f>VLOOKUP($A16,'Template IF 2'!$B$3:$HI$110,40,FALSE)</f>
        <v>3951.916666666667</v>
      </c>
      <c r="L73" s="188">
        <f>VLOOKUP($A16,'Template IF 2'!$B$3:$HI$110,41,FALSE)</f>
        <v>3930.3333333333335</v>
      </c>
    </row>
    <row r="74" spans="1:12" ht="15.75" customHeight="1" x14ac:dyDescent="0.2">
      <c r="A74" s="52" t="str">
        <f>A18</f>
        <v>Anoka County</v>
      </c>
      <c r="B74" s="68">
        <f>VLOOKUP($A18,'Template IF 2'!$B$3:$HI$110,32,FALSE)</f>
        <v>5.0999999999999996</v>
      </c>
      <c r="C74" s="68">
        <f>VLOOKUP($A18,'Template IF 2'!$B$3:$HI$110,33,FALSE)</f>
        <v>4.0491101551956818</v>
      </c>
      <c r="D74" s="68">
        <f>VLOOKUP($A18,'Template IF 2'!$B$3:$HI$110,34,FALSE)</f>
        <v>3.6067770351256434</v>
      </c>
      <c r="E74" s="68">
        <f>VLOOKUP($A18,'Template IF 2'!$B$3:$HI$110,35,FALSE)</f>
        <v>3.7596272900883507</v>
      </c>
      <c r="F74" s="68">
        <f>VLOOKUP($A18,'Template IF 2'!$B$3:$HI$110,36,FALSE)</f>
        <v>3.4666872221793978</v>
      </c>
      <c r="G74" s="54"/>
      <c r="H74" s="148">
        <f>VLOOKUP($A18,'Template IF 2'!$B$3:$HI$110,37,FALSE)</f>
        <v>12971.25</v>
      </c>
      <c r="I74" s="148">
        <f>VLOOKUP($A18,'Template IF 2'!$B$3:$HI$110,38,FALSE)</f>
        <v>11813.916666666666</v>
      </c>
      <c r="J74" s="148">
        <f>VLOOKUP($A18,'Template IF 2'!$B$3:$HI$110,39,FALSE)</f>
        <v>11067.75</v>
      </c>
      <c r="K74" s="148">
        <f>VLOOKUP($A18,'Template IF 2'!$B$3:$HI$110,40,FALSE)</f>
        <v>10573.25</v>
      </c>
      <c r="L74" s="188">
        <f>VLOOKUP($A18,'Template IF 2'!$B$3:$HI$110,41,FALSE)</f>
        <v>10085.333333333334</v>
      </c>
    </row>
    <row r="75" spans="1:12" ht="15.75" customHeight="1" x14ac:dyDescent="0.2">
      <c r="A75" s="52" t="str">
        <f>A20</f>
        <v>Becker County</v>
      </c>
      <c r="B75" s="68">
        <f>VLOOKUP($A20,'Template IF 2'!$B$3:$HI$110,32,FALSE)</f>
        <v>5.5</v>
      </c>
      <c r="C75" s="68">
        <f>VLOOKUP($A20,'Template IF 2'!$B$3:$HI$110,33,FALSE)</f>
        <v>4.6747175691468641</v>
      </c>
      <c r="D75" s="68">
        <f>VLOOKUP($A20,'Template IF 2'!$B$3:$HI$110,34,FALSE)</f>
        <v>4.423868312757202</v>
      </c>
      <c r="E75" s="68">
        <f>VLOOKUP($A20,'Template IF 2'!$B$3:$HI$110,35,FALSE)</f>
        <v>4.6580609722603681</v>
      </c>
      <c r="F75" s="68">
        <f>VLOOKUP($A20,'Template IF 2'!$B$3:$HI$110,36,FALSE)</f>
        <v>4.3248542948962365</v>
      </c>
      <c r="G75" s="54"/>
      <c r="H75" s="148">
        <f>VLOOKUP($A20,'Template IF 2'!$B$3:$HI$110,37,FALSE)</f>
        <v>2023.9166666666667</v>
      </c>
      <c r="I75" s="148">
        <f>VLOOKUP($A20,'Template IF 2'!$B$3:$HI$110,38,FALSE)</f>
        <v>1466.5</v>
      </c>
      <c r="J75" s="148">
        <f>VLOOKUP($A20,'Template IF 2'!$B$3:$HI$110,39,FALSE)</f>
        <v>1295.5833333333333</v>
      </c>
      <c r="K75" s="148">
        <f>VLOOKUP($A20,'Template IF 2'!$B$3:$HI$110,40,FALSE)</f>
        <v>1181.5</v>
      </c>
      <c r="L75" s="188">
        <f>VLOOKUP($A20,'Template IF 2'!$B$3:$HI$110,41,FALSE)</f>
        <v>1111</v>
      </c>
    </row>
    <row r="76" spans="1:12" ht="15.75" customHeight="1" x14ac:dyDescent="0.2">
      <c r="A76" s="52" t="str">
        <f>A22</f>
        <v>Beltrami County</v>
      </c>
      <c r="B76" s="68">
        <f>VLOOKUP($A22,'Template IF 2'!$B$3:$HI$110,32,FALSE)</f>
        <v>6.6</v>
      </c>
      <c r="C76" s="68">
        <f>VLOOKUP($A22,'Template IF 2'!$B$3:$HI$110,33,FALSE)</f>
        <v>5.2193225985563574</v>
      </c>
      <c r="D76" s="68">
        <f>VLOOKUP($A22,'Template IF 2'!$B$3:$HI$110,34,FALSE)</f>
        <v>4.829425209514941</v>
      </c>
      <c r="E76" s="68">
        <f>VLOOKUP($A22,'Template IF 2'!$B$3:$HI$110,35,FALSE)</f>
        <v>5.2774824580055286</v>
      </c>
      <c r="F76" s="68">
        <f>VLOOKUP($A22,'Template IF 2'!$B$3:$HI$110,36,FALSE)</f>
        <v>4.9856184084372011</v>
      </c>
      <c r="G76" s="54"/>
      <c r="H76" s="148">
        <f>VLOOKUP($A22,'Template IF 2'!$B$3:$HI$110,37,FALSE)</f>
        <v>4124.75</v>
      </c>
      <c r="I76" s="148">
        <f>VLOOKUP($A22,'Template IF 2'!$B$3:$HI$110,38,FALSE)</f>
        <v>3869.8333333333335</v>
      </c>
      <c r="J76" s="148">
        <f>VLOOKUP($A22,'Template IF 2'!$B$3:$HI$110,39,FALSE)</f>
        <v>3608</v>
      </c>
      <c r="K76" s="148">
        <f>VLOOKUP($A22,'Template IF 2'!$B$3:$HI$110,40,FALSE)</f>
        <v>3067.6666666666665</v>
      </c>
      <c r="L76" s="188">
        <f>VLOOKUP($A22,'Template IF 2'!$B$3:$HI$110,41,FALSE)</f>
        <v>2865</v>
      </c>
    </row>
    <row r="77" spans="1:12" ht="15.75" customHeight="1" x14ac:dyDescent="0.2">
      <c r="A77" s="52" t="str">
        <f>A24</f>
        <v>Benton County</v>
      </c>
      <c r="B77" s="68">
        <f>VLOOKUP($A24,'Template IF 2'!$B$3:$HI$110,32,FALSE)</f>
        <v>5.8</v>
      </c>
      <c r="C77" s="68">
        <f>VLOOKUP($A24,'Template IF 2'!$B$3:$HI$110,33,FALSE)</f>
        <v>4.9692599269634359</v>
      </c>
      <c r="D77" s="68">
        <f>VLOOKUP($A24,'Template IF 2'!$B$3:$HI$110,34,FALSE)</f>
        <v>4.4221886861480773</v>
      </c>
      <c r="E77" s="68">
        <f>VLOOKUP($A24,'Template IF 2'!$B$3:$HI$110,35,FALSE)</f>
        <v>4.4614670380687098</v>
      </c>
      <c r="F77" s="68">
        <f>VLOOKUP($A24,'Template IF 2'!$B$3:$HI$110,36,FALSE)</f>
        <v>4.1851936740774693</v>
      </c>
      <c r="G77" s="54"/>
      <c r="H77" s="148">
        <f>VLOOKUP($A24,'Template IF 2'!$B$3:$HI$110,37,FALSE)</f>
        <v>2022.5</v>
      </c>
      <c r="I77" s="148">
        <f>VLOOKUP($A24,'Template IF 2'!$B$3:$HI$110,38,FALSE)</f>
        <v>1893.1666666666667</v>
      </c>
      <c r="J77" s="148">
        <f>VLOOKUP($A24,'Template IF 2'!$B$3:$HI$110,39,FALSE)</f>
        <v>1785.0833333333333</v>
      </c>
      <c r="K77" s="148">
        <f>VLOOKUP($A24,'Template IF 2'!$B$3:$HI$110,40,FALSE)</f>
        <v>1706</v>
      </c>
      <c r="L77" s="188">
        <f>VLOOKUP($A24,'Template IF 2'!$B$3:$HI$110,41,FALSE)</f>
        <v>1647</v>
      </c>
    </row>
    <row r="78" spans="1:12" ht="15.75" customHeight="1" x14ac:dyDescent="0.2">
      <c r="A78" s="53" t="str">
        <f>A26</f>
        <v>Big Stone County</v>
      </c>
      <c r="B78" s="70">
        <f>VLOOKUP($A26,'Template IF 2'!$B$3:$HI$110,32,FALSE)</f>
        <v>5.0999999999999996</v>
      </c>
      <c r="C78" s="70">
        <f>VLOOKUP($A26,'Template IF 2'!$B$3:$HI$110,33,FALSE)</f>
        <v>4.3747580332946185</v>
      </c>
      <c r="D78" s="70">
        <f>VLOOKUP($A26,'Template IF 2'!$B$3:$HI$110,34,FALSE)</f>
        <v>4.4452608376193981</v>
      </c>
      <c r="E78" s="70">
        <f>VLOOKUP($A26,'Template IF 2'!$B$3:$HI$110,35,FALSE)</f>
        <v>4.8565121412803531</v>
      </c>
      <c r="F78" s="70">
        <f>VLOOKUP($A26,'Template IF 2'!$B$3:$HI$110,36,FALSE)</f>
        <v>4.4090403853278985</v>
      </c>
      <c r="G78" s="71"/>
      <c r="H78" s="145">
        <f>VLOOKUP($A26,'Template IF 2'!$B$3:$HI$110,37,FALSE)</f>
        <v>213.16666666666666</v>
      </c>
      <c r="I78" s="145">
        <f>VLOOKUP($A26,'Template IF 2'!$B$3:$HI$110,38,FALSE)</f>
        <v>183</v>
      </c>
      <c r="J78" s="145">
        <f>VLOOKUP($A26,'Template IF 2'!$B$3:$HI$110,39,FALSE)</f>
        <v>173.75</v>
      </c>
      <c r="K78" s="145">
        <f>VLOOKUP($A26,'Template IF 2'!$B$3:$HI$110,40,FALSE)</f>
        <v>170.33333333333334</v>
      </c>
      <c r="L78" s="189">
        <f>VLOOKUP($A26,'Template IF 2'!$B$3:$HI$110,41,FALSE)</f>
        <v>183.5</v>
      </c>
    </row>
    <row r="79" spans="1:12" ht="15.75" customHeight="1" x14ac:dyDescent="0.2">
      <c r="A79" s="52"/>
      <c r="B79" s="54"/>
      <c r="C79" s="54"/>
      <c r="D79" s="54"/>
      <c r="E79" s="54"/>
      <c r="F79" s="54"/>
      <c r="G79" s="54"/>
      <c r="H79" s="60"/>
      <c r="I79" s="60"/>
      <c r="J79" s="60"/>
      <c r="K79" s="60"/>
      <c r="L79" s="60"/>
    </row>
    <row r="80" spans="1:12" ht="15.75" customHeight="1" x14ac:dyDescent="0.2">
      <c r="A80" s="52"/>
      <c r="B80" s="261" t="s">
        <v>514</v>
      </c>
      <c r="C80" s="261"/>
      <c r="D80" s="261"/>
      <c r="E80" s="261"/>
      <c r="F80" s="261"/>
      <c r="G80" s="54"/>
      <c r="H80" s="261" t="s">
        <v>515</v>
      </c>
      <c r="I80" s="261"/>
      <c r="J80" s="261"/>
      <c r="K80" s="261"/>
      <c r="L80" s="261"/>
    </row>
    <row r="81" spans="1:12" ht="15.75" customHeight="1" x14ac:dyDescent="0.2">
      <c r="A81" s="53"/>
      <c r="B81" s="55">
        <f>'Template IF 2'!AQ2</f>
        <v>2013</v>
      </c>
      <c r="C81" s="55">
        <f>'Template IF 2'!AR2</f>
        <v>2014</v>
      </c>
      <c r="D81" s="55">
        <f>'Template IF 2'!AS2</f>
        <v>2015</v>
      </c>
      <c r="E81" s="55">
        <f>'Template IF 2'!AT2</f>
        <v>2016</v>
      </c>
      <c r="F81" s="55">
        <f>'Template IF 2'!AU2</f>
        <v>2017</v>
      </c>
      <c r="G81" s="54"/>
      <c r="H81" s="55">
        <f>'Template IF 2'!AV2</f>
        <v>2013</v>
      </c>
      <c r="I81" s="55">
        <f>'Template IF 2'!AW2</f>
        <v>2014</v>
      </c>
      <c r="J81" s="55">
        <f>'Template IF 2'!AX2</f>
        <v>2015</v>
      </c>
      <c r="K81" s="55">
        <f>'Template IF 2'!AY2</f>
        <v>2016</v>
      </c>
      <c r="L81" s="55">
        <f>'Template IF 2'!AZ2</f>
        <v>2017</v>
      </c>
    </row>
    <row r="82" spans="1:12" ht="15.75" customHeight="1" x14ac:dyDescent="0.2">
      <c r="A82" s="52" t="s">
        <v>22</v>
      </c>
      <c r="B82" s="192">
        <f>'Template IF 2'!AQ3</f>
        <v>49615.339794752108</v>
      </c>
      <c r="C82" s="192">
        <f>'Template IF 2'!AR3</f>
        <v>51213.19650863389</v>
      </c>
      <c r="D82" s="192">
        <f>'Template IF 2'!AS3</f>
        <v>53192.193497962129</v>
      </c>
      <c r="E82" s="192">
        <f>'Template IF 2'!AT3</f>
        <v>53599.615226726615</v>
      </c>
      <c r="F82" s="193">
        <f>'Template IF 2'!AU3</f>
        <v>55989.770000000004</v>
      </c>
      <c r="G82" s="60"/>
      <c r="H82" s="72">
        <f>'Template IF 2'!AV3</f>
        <v>61769.4</v>
      </c>
      <c r="I82" s="72">
        <f>'Template IF 2'!AW3</f>
        <v>63090.560000000005</v>
      </c>
      <c r="J82" s="72">
        <f>'Template IF 2'!AX3</f>
        <v>63931.920000000006</v>
      </c>
      <c r="K82" s="72">
        <f>'Template IF 2'!AY3</f>
        <v>65362.770000000004</v>
      </c>
      <c r="L82" s="178">
        <f>'Template IF 2'!AZ3</f>
        <v>68364</v>
      </c>
    </row>
    <row r="83" spans="1:12" ht="15.75" customHeight="1" x14ac:dyDescent="0.2">
      <c r="A83" s="52" t="str">
        <f>A16</f>
        <v>Aitkin, Itasca, Koochiching</v>
      </c>
      <c r="B83" s="192">
        <f>VLOOKUP($A16,'Template IF 2'!$B$3:$HI$110,42,FALSE)</f>
        <v>36187.763451858635</v>
      </c>
      <c r="C83" s="192">
        <f>VLOOKUP($A16,'Template IF 2'!$B$3:$HI$110,43,FALSE)</f>
        <v>37406.230482467989</v>
      </c>
      <c r="D83" s="192">
        <f>VLOOKUP($A16,'Template IF 2'!$B$3:$HI$110,44,FALSE)</f>
        <v>38612.155084917795</v>
      </c>
      <c r="E83" s="192">
        <f>VLOOKUP($A16,'Template IF 2'!$B$3:$HI$110,45,FALSE)</f>
        <v>38915.386437585941</v>
      </c>
      <c r="F83" s="193">
        <f>VLOOKUP($A16,'Template IF 2'!$B$3:$HI$110,46,FALSE)</f>
        <v>40743.427490679518</v>
      </c>
      <c r="G83" s="60"/>
      <c r="H83" s="72" t="str">
        <f>VLOOKUP($A16,'Template IF 2'!$B$3:$HI$110,47,FALSE)</f>
        <v>NA</v>
      </c>
      <c r="I83" s="72" t="str">
        <f>VLOOKUP($A16,'Template IF 2'!$B$3:$HI$110,48,FALSE)</f>
        <v>NA</v>
      </c>
      <c r="J83" s="72" t="str">
        <f>VLOOKUP($A16,'Template IF 2'!$B$3:$HI$110,49,FALSE)</f>
        <v>NA</v>
      </c>
      <c r="K83" s="72" t="str">
        <f>VLOOKUP($A16,'Template IF 2'!$B$3:$HI$110,50,FALSE)</f>
        <v>NA</v>
      </c>
      <c r="L83" s="178" t="str">
        <f>VLOOKUP($A16,'Template IF 2'!$B$3:$HI$110,51,FALSE)</f>
        <v>NA</v>
      </c>
    </row>
    <row r="84" spans="1:12" ht="15.75" customHeight="1" x14ac:dyDescent="0.2">
      <c r="A84" s="52" t="str">
        <f>A18</f>
        <v>Anoka County</v>
      </c>
      <c r="B84" s="192">
        <f>VLOOKUP($A18,'Template IF 2'!$B$3:$HI$110,42,FALSE)</f>
        <v>43803.034903380576</v>
      </c>
      <c r="C84" s="192">
        <f>VLOOKUP($A18,'Template IF 2'!$B$3:$HI$110,43,FALSE)</f>
        <v>45458.757717788751</v>
      </c>
      <c r="D84" s="192">
        <f>VLOOKUP($A18,'Template IF 2'!$B$3:$HI$110,44,FALSE)</f>
        <v>47499.520100517126</v>
      </c>
      <c r="E84" s="192">
        <f>VLOOKUP($A18,'Template IF 2'!$B$3:$HI$110,45,FALSE)</f>
        <v>48308.341845951953</v>
      </c>
      <c r="F84" s="193">
        <f>VLOOKUP($A18,'Template IF 2'!$B$3:$HI$110,46,FALSE)</f>
        <v>50147.61</v>
      </c>
      <c r="G84" s="60"/>
      <c r="H84" s="72">
        <f>VLOOKUP($A18,'Template IF 2'!$B$3:$HI$110,47,FALSE)</f>
        <v>71201.55</v>
      </c>
      <c r="I84" s="72">
        <f>VLOOKUP($A18,'Template IF 2'!$B$3:$HI$110,48,FALSE)</f>
        <v>73443.760000000009</v>
      </c>
      <c r="J84" s="72">
        <f>VLOOKUP($A18,'Template IF 2'!$B$3:$HI$110,49,FALSE)</f>
        <v>73702.720000000001</v>
      </c>
      <c r="K84" s="72">
        <f>VLOOKUP($A18,'Template IF 2'!$B$3:$HI$110,50,FALSE)</f>
        <v>75474.28</v>
      </c>
      <c r="L84" s="178">
        <f>VLOOKUP($A18,'Template IF 2'!$B$3:$HI$110,51,FALSE)</f>
        <v>79097</v>
      </c>
    </row>
    <row r="85" spans="1:12" ht="15.75" customHeight="1" x14ac:dyDescent="0.2">
      <c r="A85" s="52" t="str">
        <f>A20</f>
        <v>Becker County</v>
      </c>
      <c r="B85" s="192">
        <f>VLOOKUP($A20,'Template IF 2'!$B$3:$HI$110,42,FALSE)</f>
        <v>42564.13906090302</v>
      </c>
      <c r="C85" s="192">
        <f>VLOOKUP($A20,'Template IF 2'!$B$3:$HI$110,43,FALSE)</f>
        <v>42553.871635610769</v>
      </c>
      <c r="D85" s="192">
        <f>VLOOKUP($A20,'Template IF 2'!$B$3:$HI$110,44,FALSE)</f>
        <v>44052.346829093512</v>
      </c>
      <c r="E85" s="192">
        <f>VLOOKUP($A20,'Template IF 2'!$B$3:$HI$110,45,FALSE)</f>
        <v>44717.187110926665</v>
      </c>
      <c r="F85" s="193">
        <f>VLOOKUP($A20,'Template IF 2'!$B$3:$HI$110,46,FALSE)</f>
        <v>46307.770000000004</v>
      </c>
      <c r="G85" s="60"/>
      <c r="H85" s="72">
        <f>VLOOKUP($A20,'Template IF 2'!$B$3:$HI$110,47,FALSE)</f>
        <v>49723.8</v>
      </c>
      <c r="I85" s="72">
        <f>VLOOKUP($A20,'Template IF 2'!$B$3:$HI$110,48,FALSE)</f>
        <v>51150.32</v>
      </c>
      <c r="J85" s="72">
        <f>VLOOKUP($A20,'Template IF 2'!$B$3:$HI$110,49,FALSE)</f>
        <v>53160.639999999999</v>
      </c>
      <c r="K85" s="72">
        <f>VLOOKUP($A20,'Template IF 2'!$B$3:$HI$110,50,FALSE)</f>
        <v>55933.120000000003</v>
      </c>
      <c r="L85" s="178">
        <f>VLOOKUP($A20,'Template IF 2'!$B$3:$HI$110,51,FALSE)</f>
        <v>54502</v>
      </c>
    </row>
    <row r="86" spans="1:12" ht="15.75" customHeight="1" x14ac:dyDescent="0.2">
      <c r="A86" s="52" t="str">
        <f>A22</f>
        <v>Beltrami County</v>
      </c>
      <c r="B86" s="192">
        <f>VLOOKUP($A22,'Template IF 2'!$B$3:$HI$110,42,FALSE)</f>
        <v>34701.871775167419</v>
      </c>
      <c r="C86" s="192">
        <f>VLOOKUP($A22,'Template IF 2'!$B$3:$HI$110,43,FALSE)</f>
        <v>36380.642477062211</v>
      </c>
      <c r="D86" s="192">
        <f>VLOOKUP($A22,'Template IF 2'!$B$3:$HI$110,44,FALSE)</f>
        <v>37716.587993168985</v>
      </c>
      <c r="E86" s="192">
        <f>VLOOKUP($A22,'Template IF 2'!$B$3:$HI$110,45,FALSE)</f>
        <v>38353.325380644594</v>
      </c>
      <c r="F86" s="193">
        <f>VLOOKUP($A22,'Template IF 2'!$B$3:$HI$110,46,FALSE)</f>
        <v>40453.25</v>
      </c>
      <c r="G86" s="60"/>
      <c r="H86" s="72">
        <f>VLOOKUP($A22,'Template IF 2'!$B$3:$HI$110,47,FALSE)</f>
        <v>44787.75</v>
      </c>
      <c r="I86" s="72">
        <f>VLOOKUP($A22,'Template IF 2'!$B$3:$HI$110,48,FALSE)</f>
        <v>44058.560000000005</v>
      </c>
      <c r="J86" s="72">
        <f>VLOOKUP($A22,'Template IF 2'!$B$3:$HI$110,49,FALSE)</f>
        <v>45454.239999999998</v>
      </c>
      <c r="K86" s="72">
        <f>VLOOKUP($A22,'Template IF 2'!$B$3:$HI$110,50,FALSE)</f>
        <v>47411.93</v>
      </c>
      <c r="L86" s="178">
        <f>VLOOKUP($A22,'Template IF 2'!$B$3:$HI$110,51,FALSE)</f>
        <v>47336</v>
      </c>
    </row>
    <row r="87" spans="1:12" ht="15.75" customHeight="1" x14ac:dyDescent="0.2">
      <c r="A87" s="52" t="str">
        <f>A24</f>
        <v>Benton County</v>
      </c>
      <c r="B87" s="192">
        <f>VLOOKUP($A24,'Template IF 2'!$B$3:$HI$110,42,FALSE)</f>
        <v>37820.787046473706</v>
      </c>
      <c r="C87" s="192">
        <f>VLOOKUP($A24,'Template IF 2'!$B$3:$HI$110,43,FALSE)</f>
        <v>39126.782961460449</v>
      </c>
      <c r="D87" s="192">
        <f>VLOOKUP($A24,'Template IF 2'!$B$3:$HI$110,44,FALSE)</f>
        <v>40154.451577171916</v>
      </c>
      <c r="E87" s="192">
        <f>VLOOKUP($A24,'Template IF 2'!$B$3:$HI$110,45,FALSE)</f>
        <v>40620.406081216242</v>
      </c>
      <c r="F87" s="193">
        <f>VLOOKUP($A24,'Template IF 2'!$B$3:$HI$110,46,FALSE)</f>
        <v>43382.57</v>
      </c>
      <c r="G87" s="60"/>
      <c r="H87" s="72">
        <f>VLOOKUP($A24,'Template IF 2'!$B$3:$HI$110,47,FALSE)</f>
        <v>54923.4</v>
      </c>
      <c r="I87" s="72">
        <f>VLOOKUP($A24,'Template IF 2'!$B$3:$HI$110,48,FALSE)</f>
        <v>53626.560000000005</v>
      </c>
      <c r="J87" s="72">
        <f>VLOOKUP($A24,'Template IF 2'!$B$3:$HI$110,49,FALSE)</f>
        <v>54632.240000000005</v>
      </c>
      <c r="K87" s="72">
        <f>VLOOKUP($A24,'Template IF 2'!$B$3:$HI$110,50,FALSE)</f>
        <v>54088.39</v>
      </c>
      <c r="L87" s="178">
        <f>VLOOKUP($A24,'Template IF 2'!$B$3:$HI$110,51,FALSE)</f>
        <v>58572</v>
      </c>
    </row>
    <row r="88" spans="1:12" ht="15.75" customHeight="1" x14ac:dyDescent="0.2">
      <c r="A88" s="53" t="str">
        <f>A26</f>
        <v>Big Stone County</v>
      </c>
      <c r="B88" s="194">
        <f>VLOOKUP($A26,'Template IF 2'!$B$3:$HI$110,42,FALSE)</f>
        <v>52581.353942477006</v>
      </c>
      <c r="C88" s="194">
        <f>VLOOKUP($A26,'Template IF 2'!$B$3:$HI$110,43,FALSE)</f>
        <v>48885.483304042187</v>
      </c>
      <c r="D88" s="194">
        <f>VLOOKUP($A26,'Template IF 2'!$B$3:$HI$110,44,FALSE)</f>
        <v>52486.351726875742</v>
      </c>
      <c r="E88" s="194">
        <f>VLOOKUP($A26,'Template IF 2'!$B$3:$HI$110,45,FALSE)</f>
        <v>51716.401980198025</v>
      </c>
      <c r="F88" s="195">
        <f>VLOOKUP($A26,'Template IF 2'!$B$3:$HI$110,46,FALSE)</f>
        <v>49769.599999999999</v>
      </c>
      <c r="G88" s="71"/>
      <c r="H88" s="73">
        <f>VLOOKUP($A26,'Template IF 2'!$B$3:$HI$110,47,FALSE)</f>
        <v>46420.5</v>
      </c>
      <c r="I88" s="73">
        <f>VLOOKUP($A26,'Template IF 2'!$B$3:$HI$110,48,FALSE)</f>
        <v>46422.48</v>
      </c>
      <c r="J88" s="73">
        <f>VLOOKUP($A26,'Template IF 2'!$B$3:$HI$110,49,FALSE)</f>
        <v>48354.8</v>
      </c>
      <c r="K88" s="73">
        <f>VLOOKUP($A26,'Template IF 2'!$B$3:$HI$110,50,FALSE)</f>
        <v>49010.49</v>
      </c>
      <c r="L88" s="177">
        <f>VLOOKUP($A26,'Template IF 2'!$B$3:$HI$110,51,FALSE)</f>
        <v>48553</v>
      </c>
    </row>
    <row r="89" spans="1:12" ht="12.75" customHeight="1" x14ac:dyDescent="0.2">
      <c r="A89" s="64"/>
      <c r="B89" s="67"/>
      <c r="C89" s="67"/>
      <c r="D89" s="67"/>
      <c r="E89" s="67"/>
      <c r="F89" s="67"/>
      <c r="G89" s="54"/>
      <c r="H89" s="52"/>
      <c r="I89" s="67"/>
      <c r="J89" s="67"/>
      <c r="K89" s="67"/>
      <c r="L89" s="67"/>
    </row>
    <row r="90" spans="1:12" ht="14.25" x14ac:dyDescent="0.2">
      <c r="A90" s="52"/>
      <c r="B90" s="261" t="s">
        <v>451</v>
      </c>
      <c r="C90" s="261"/>
      <c r="D90" s="261"/>
      <c r="E90" s="261"/>
      <c r="F90" s="261"/>
      <c r="G90" s="54"/>
      <c r="H90" s="261" t="s">
        <v>452</v>
      </c>
      <c r="I90" s="261"/>
      <c r="J90" s="261"/>
      <c r="K90" s="261"/>
      <c r="L90" s="261"/>
    </row>
    <row r="91" spans="1:12" x14ac:dyDescent="0.2">
      <c r="A91" s="53"/>
      <c r="B91" s="55">
        <f>'Template IF 2'!BA2</f>
        <v>2013</v>
      </c>
      <c r="C91" s="55">
        <f>'Template IF 2'!BB2</f>
        <v>2014</v>
      </c>
      <c r="D91" s="55">
        <f>'Template IF 2'!BC2</f>
        <v>2015</v>
      </c>
      <c r="E91" s="55">
        <f>'Template IF 2'!BD2</f>
        <v>2016</v>
      </c>
      <c r="F91" s="55">
        <f>'Template IF 2'!BE2</f>
        <v>2017</v>
      </c>
      <c r="G91" s="54"/>
      <c r="H91" s="55">
        <f>'Template IF 2'!BF2</f>
        <v>2013</v>
      </c>
      <c r="I91" s="55">
        <f>'Template IF 2'!BG2</f>
        <v>2014</v>
      </c>
      <c r="J91" s="55">
        <f>'Template IF 2'!BH2</f>
        <v>2015</v>
      </c>
      <c r="K91" s="55">
        <f>'Template IF 2'!BI2</f>
        <v>2016</v>
      </c>
      <c r="L91" s="55">
        <f>'Template IF 2'!BJ2</f>
        <v>2017</v>
      </c>
    </row>
    <row r="92" spans="1:12" ht="15.75" customHeight="1" x14ac:dyDescent="0.2">
      <c r="A92" s="52" t="s">
        <v>22</v>
      </c>
      <c r="B92" s="205">
        <f>'Template IF 2'!BA3</f>
        <v>11.2</v>
      </c>
      <c r="C92" s="205">
        <f>'Template IF 2'!BB3</f>
        <v>11.4</v>
      </c>
      <c r="D92" s="205">
        <f>'Template IF 2'!BC3</f>
        <v>10.199999999999999</v>
      </c>
      <c r="E92" s="205">
        <f>'Template IF 2'!BD3</f>
        <v>9.9</v>
      </c>
      <c r="F92" s="206">
        <f>'Template IF 2'!BE3</f>
        <v>9.5</v>
      </c>
      <c r="G92" s="62"/>
      <c r="H92" s="205">
        <f>'Template IF 2'!BF3</f>
        <v>14</v>
      </c>
      <c r="I92" s="205">
        <f>'Template IF 2'!BG3</f>
        <v>14.8</v>
      </c>
      <c r="J92" s="209">
        <f>'Template IF 2'!BH3</f>
        <v>13.1</v>
      </c>
      <c r="K92" s="209">
        <f>'Template IF 2'!BI3</f>
        <v>12.5</v>
      </c>
      <c r="L92" s="210">
        <f>'Template IF 2'!BJ3</f>
        <v>11.7</v>
      </c>
    </row>
    <row r="93" spans="1:12" ht="15.75" customHeight="1" x14ac:dyDescent="0.2">
      <c r="A93" s="52" t="str">
        <f>A16</f>
        <v>Aitkin, Itasca, Koochiching</v>
      </c>
      <c r="B93" s="205">
        <f>VLOOKUP($A16,'Template IF 2'!$B$3:$HI$110,52,FALSE)</f>
        <v>13.781669201573012</v>
      </c>
      <c r="C93" s="205">
        <f>VLOOKUP($A16,'Template IF 2'!$B$3:$HI$110,53,FALSE)</f>
        <v>14.830298696297925</v>
      </c>
      <c r="D93" s="205">
        <f>VLOOKUP($A16,'Template IF 2'!$B$3:$HI$110,54,FALSE)</f>
        <v>13.300132435713497</v>
      </c>
      <c r="E93" s="205">
        <f>VLOOKUP($A16,'Template IF 2'!$B$3:$HI$110,55,FALSE)</f>
        <v>13.179856506881951</v>
      </c>
      <c r="F93" s="206">
        <f>VLOOKUP($A16,'Template IF 2'!$B$3:$HI$110,56,FALSE)</f>
        <v>11.421340517593274</v>
      </c>
      <c r="G93" s="62"/>
      <c r="H93" s="205">
        <f>VLOOKUP($A16,'Template IF 2'!$B$3:$HI$110,57,FALSE)</f>
        <v>21.414349467902507</v>
      </c>
      <c r="I93" s="205">
        <f>VLOOKUP($A16,'Template IF 2'!$B$3:$HI$110,58,FALSE)</f>
        <v>22.328615043019706</v>
      </c>
      <c r="J93" s="200">
        <f>VLOOKUP($A16,'Template IF 2'!$B$3:$HI$110,59,FALSE)</f>
        <v>19.281637198941944</v>
      </c>
      <c r="K93" s="200">
        <f>VLOOKUP($A16,'Template IF 2'!$B$3:$HI$110,60,FALSE)</f>
        <v>19.397648353159596</v>
      </c>
      <c r="L93" s="201">
        <f>VLOOKUP($A16,'Template IF 2'!$B$3:$HI$110,61,FALSE)</f>
        <v>15.943939499063346</v>
      </c>
    </row>
    <row r="94" spans="1:12" ht="15.75" customHeight="1" x14ac:dyDescent="0.2">
      <c r="A94" s="52" t="str">
        <f>A18</f>
        <v>Anoka County</v>
      </c>
      <c r="B94" s="205">
        <f>VLOOKUP($A18,'Template IF 2'!$B$3:$HI$110,52,FALSE)</f>
        <v>7.6</v>
      </c>
      <c r="C94" s="205">
        <f>VLOOKUP($A18,'Template IF 2'!$B$3:$HI$110,53,FALSE)</f>
        <v>7.6</v>
      </c>
      <c r="D94" s="205">
        <f>VLOOKUP($A18,'Template IF 2'!$B$3:$HI$110,54,FALSE)</f>
        <v>7.1</v>
      </c>
      <c r="E94" s="205">
        <f>VLOOKUP($A18,'Template IF 2'!$B$3:$HI$110,55,FALSE)</f>
        <v>6.8</v>
      </c>
      <c r="F94" s="206">
        <f>VLOOKUP($A18,'Template IF 2'!$B$3:$HI$110,56,FALSE)</f>
        <v>5.4</v>
      </c>
      <c r="G94" s="62"/>
      <c r="H94" s="205">
        <f>VLOOKUP($A18,'Template IF 2'!$B$3:$HI$110,57,FALSE)</f>
        <v>10.3</v>
      </c>
      <c r="I94" s="205">
        <f>VLOOKUP($A18,'Template IF 2'!$B$3:$HI$110,58,FALSE)</f>
        <v>10.7</v>
      </c>
      <c r="J94" s="200">
        <f>VLOOKUP($A18,'Template IF 2'!$B$3:$HI$110,59,FALSE)</f>
        <v>9.1999999999999993</v>
      </c>
      <c r="K94" s="200">
        <f>VLOOKUP($A18,'Template IF 2'!$B$3:$HI$110,60,FALSE)</f>
        <v>9.1999999999999993</v>
      </c>
      <c r="L94" s="201">
        <f>VLOOKUP($A18,'Template IF 2'!$B$3:$HI$110,61,FALSE)</f>
        <v>7.3</v>
      </c>
    </row>
    <row r="95" spans="1:12" ht="15.75" customHeight="1" x14ac:dyDescent="0.2">
      <c r="A95" s="52" t="str">
        <f>A20</f>
        <v>Becker County</v>
      </c>
      <c r="B95" s="205">
        <f>VLOOKUP($A20,'Template IF 2'!$B$3:$HI$110,52,FALSE)</f>
        <v>13.5</v>
      </c>
      <c r="C95" s="205">
        <f>VLOOKUP($A20,'Template IF 2'!$B$3:$HI$110,53,FALSE)</f>
        <v>14.6</v>
      </c>
      <c r="D95" s="205">
        <f>VLOOKUP($A20,'Template IF 2'!$B$3:$HI$110,54,FALSE)</f>
        <v>11.3</v>
      </c>
      <c r="E95" s="205">
        <f>VLOOKUP($A20,'Template IF 2'!$B$3:$HI$110,55,FALSE)</f>
        <v>12.7</v>
      </c>
      <c r="F95" s="206">
        <f>VLOOKUP($A20,'Template IF 2'!$B$3:$HI$110,56,FALSE)</f>
        <v>11.7</v>
      </c>
      <c r="G95" s="62"/>
      <c r="H95" s="205">
        <f>VLOOKUP($A20,'Template IF 2'!$B$3:$HI$110,57,FALSE)</f>
        <v>19.3</v>
      </c>
      <c r="I95" s="205">
        <f>VLOOKUP($A20,'Template IF 2'!$B$3:$HI$110,58,FALSE)</f>
        <v>19.100000000000001</v>
      </c>
      <c r="J95" s="200">
        <f>VLOOKUP($A20,'Template IF 2'!$B$3:$HI$110,59,FALSE)</f>
        <v>16.5</v>
      </c>
      <c r="K95" s="200">
        <f>VLOOKUP($A20,'Template IF 2'!$B$3:$HI$110,60,FALSE)</f>
        <v>18.7</v>
      </c>
      <c r="L95" s="201">
        <f>VLOOKUP($A20,'Template IF 2'!$B$3:$HI$110,61,FALSE)</f>
        <v>17.3</v>
      </c>
    </row>
    <row r="96" spans="1:12" ht="15.75" customHeight="1" x14ac:dyDescent="0.2">
      <c r="A96" s="52" t="str">
        <f>A22</f>
        <v>Beltrami County</v>
      </c>
      <c r="B96" s="205">
        <f>VLOOKUP($A22,'Template IF 2'!$B$3:$HI$110,52,FALSE)</f>
        <v>20.2</v>
      </c>
      <c r="C96" s="205">
        <f>VLOOKUP($A22,'Template IF 2'!$B$3:$HI$110,53,FALSE)</f>
        <v>18.5</v>
      </c>
      <c r="D96" s="205">
        <f>VLOOKUP($A22,'Template IF 2'!$B$3:$HI$110,54,FALSE)</f>
        <v>16.2</v>
      </c>
      <c r="E96" s="205">
        <f>VLOOKUP($A22,'Template IF 2'!$B$3:$HI$110,55,FALSE)</f>
        <v>18.3</v>
      </c>
      <c r="F96" s="206">
        <f>VLOOKUP($A22,'Template IF 2'!$B$3:$HI$110,56,FALSE)</f>
        <v>18.8</v>
      </c>
      <c r="G96" s="62"/>
      <c r="H96" s="205">
        <f>VLOOKUP($A22,'Template IF 2'!$B$3:$HI$110,57,FALSE)</f>
        <v>27.3</v>
      </c>
      <c r="I96" s="205">
        <f>VLOOKUP($A22,'Template IF 2'!$B$3:$HI$110,58,FALSE)</f>
        <v>24.8</v>
      </c>
      <c r="J96" s="200">
        <f>VLOOKUP($A22,'Template IF 2'!$B$3:$HI$110,59,FALSE)</f>
        <v>23.5</v>
      </c>
      <c r="K96" s="200">
        <f>VLOOKUP($A22,'Template IF 2'!$B$3:$HI$110,60,FALSE)</f>
        <v>24.8</v>
      </c>
      <c r="L96" s="201">
        <f>VLOOKUP($A22,'Template IF 2'!$B$3:$HI$110,61,FALSE)</f>
        <v>24.8</v>
      </c>
    </row>
    <row r="97" spans="1:27" ht="15.75" customHeight="1" x14ac:dyDescent="0.2">
      <c r="A97" s="52" t="str">
        <f>A24</f>
        <v>Benton County</v>
      </c>
      <c r="B97" s="205">
        <f>VLOOKUP($A24,'Template IF 2'!$B$3:$HI$110,52,FALSE)</f>
        <v>11.9</v>
      </c>
      <c r="C97" s="205">
        <f>VLOOKUP($A24,'Template IF 2'!$B$3:$HI$110,53,FALSE)</f>
        <v>13.6</v>
      </c>
      <c r="D97" s="205">
        <f>VLOOKUP($A24,'Template IF 2'!$B$3:$HI$110,54,FALSE)</f>
        <v>11.4</v>
      </c>
      <c r="E97" s="205">
        <f>VLOOKUP($A24,'Template IF 2'!$B$3:$HI$110,55,FALSE)</f>
        <v>8.5</v>
      </c>
      <c r="F97" s="206">
        <f>VLOOKUP($A24,'Template IF 2'!$B$3:$HI$110,56,FALSE)</f>
        <v>9.6999999999999993</v>
      </c>
      <c r="G97" s="62"/>
      <c r="H97" s="205">
        <f>VLOOKUP($A24,'Template IF 2'!$B$3:$HI$110,57,FALSE)</f>
        <v>14.3</v>
      </c>
      <c r="I97" s="205">
        <f>VLOOKUP($A24,'Template IF 2'!$B$3:$HI$110,58,FALSE)</f>
        <v>14.8</v>
      </c>
      <c r="J97" s="200">
        <f>VLOOKUP($A24,'Template IF 2'!$B$3:$HI$110,59,FALSE)</f>
        <v>13.5</v>
      </c>
      <c r="K97" s="200">
        <f>VLOOKUP($A24,'Template IF 2'!$B$3:$HI$110,60,FALSE)</f>
        <v>11.4</v>
      </c>
      <c r="L97" s="201">
        <f>VLOOKUP($A24,'Template IF 2'!$B$3:$HI$110,61,FALSE)</f>
        <v>10.1</v>
      </c>
    </row>
    <row r="98" spans="1:27" ht="15.75" customHeight="1" x14ac:dyDescent="0.2">
      <c r="A98" s="53" t="str">
        <f>A26</f>
        <v>Big Stone County</v>
      </c>
      <c r="B98" s="207">
        <f>VLOOKUP($A26,'Template IF 2'!$B$3:$HI$110,52,FALSE)</f>
        <v>12.8</v>
      </c>
      <c r="C98" s="207">
        <f>VLOOKUP($A26,'Template IF 2'!$B$3:$HI$110,53,FALSE)</f>
        <v>12.8</v>
      </c>
      <c r="D98" s="207">
        <f>VLOOKUP($A26,'Template IF 2'!$B$3:$HI$110,54,FALSE)</f>
        <v>11.5</v>
      </c>
      <c r="E98" s="207">
        <f>VLOOKUP($A26,'Template IF 2'!$B$3:$HI$110,55,FALSE)</f>
        <v>11.9</v>
      </c>
      <c r="F98" s="208">
        <f>VLOOKUP($A26,'Template IF 2'!$B$3:$HI$110,56,FALSE)</f>
        <v>12.3</v>
      </c>
      <c r="G98" s="62"/>
      <c r="H98" s="207">
        <f>VLOOKUP($A26,'Template IF 2'!$B$3:$HI$110,57,FALSE)</f>
        <v>19.2</v>
      </c>
      <c r="I98" s="207">
        <f>VLOOKUP($A26,'Template IF 2'!$B$3:$HI$110,58,FALSE)</f>
        <v>17</v>
      </c>
      <c r="J98" s="202">
        <f>VLOOKUP($A26,'Template IF 2'!$B$3:$HI$110,59,FALSE)</f>
        <v>15.9</v>
      </c>
      <c r="K98" s="202">
        <f>VLOOKUP($A26,'Template IF 2'!$B$3:$HI$110,60,FALSE)</f>
        <v>15.9</v>
      </c>
      <c r="L98" s="203">
        <f>VLOOKUP($A26,'Template IF 2'!$B$3:$HI$110,61,FALSE)</f>
        <v>16</v>
      </c>
    </row>
    <row r="99" spans="1:27" ht="13.5" customHeight="1" x14ac:dyDescent="0.2">
      <c r="A99" s="52"/>
      <c r="B99" s="54"/>
      <c r="C99" s="54"/>
      <c r="D99" s="54"/>
      <c r="E99" s="54"/>
      <c r="F99" s="54"/>
      <c r="G99" s="54"/>
      <c r="H99" s="54"/>
      <c r="I99" s="54"/>
      <c r="J99" s="54"/>
      <c r="K99" s="54"/>
      <c r="L99" s="54"/>
    </row>
    <row r="100" spans="1:27" ht="14.25" x14ac:dyDescent="0.2">
      <c r="A100" s="267" t="s">
        <v>453</v>
      </c>
      <c r="B100" s="267"/>
      <c r="C100" s="267"/>
      <c r="D100" s="267"/>
      <c r="E100" s="267"/>
      <c r="F100" s="267"/>
      <c r="G100" s="267"/>
      <c r="H100" s="267"/>
      <c r="I100" s="267"/>
      <c r="J100" s="267"/>
      <c r="K100" s="267"/>
      <c r="L100" s="267"/>
    </row>
    <row r="101" spans="1:27" ht="8.25" customHeight="1" x14ac:dyDescent="0.2">
      <c r="A101" s="52"/>
      <c r="B101" s="54"/>
      <c r="C101" s="54"/>
      <c r="D101" s="54"/>
      <c r="E101" s="54"/>
      <c r="F101" s="54"/>
      <c r="G101" s="54"/>
      <c r="H101" s="54"/>
      <c r="I101" s="54"/>
      <c r="J101" s="54"/>
      <c r="K101" s="54"/>
      <c r="L101" s="54"/>
      <c r="S101"/>
      <c r="T101"/>
      <c r="U101"/>
      <c r="V101"/>
      <c r="W101"/>
      <c r="X101"/>
      <c r="Y101"/>
      <c r="Z101"/>
      <c r="AA101"/>
    </row>
    <row r="102" spans="1:27" x14ac:dyDescent="0.2">
      <c r="A102" s="52"/>
      <c r="B102" s="54"/>
      <c r="C102" s="54"/>
      <c r="D102" s="54"/>
      <c r="E102" s="54"/>
      <c r="F102" s="54"/>
      <c r="G102" s="54"/>
      <c r="H102" s="259" t="s">
        <v>147</v>
      </c>
      <c r="I102" s="260"/>
      <c r="J102" s="260"/>
      <c r="K102" s="260"/>
      <c r="L102" s="54"/>
      <c r="S102"/>
      <c r="T102"/>
      <c r="U102"/>
      <c r="V102"/>
      <c r="W102"/>
      <c r="X102"/>
      <c r="Y102"/>
      <c r="Z102"/>
      <c r="AA102"/>
    </row>
    <row r="103" spans="1:27" x14ac:dyDescent="0.2">
      <c r="A103" s="64"/>
      <c r="B103" s="261" t="s">
        <v>148</v>
      </c>
      <c r="C103" s="261"/>
      <c r="D103" s="261"/>
      <c r="E103" s="261"/>
      <c r="F103" s="54"/>
      <c r="G103" s="54"/>
      <c r="H103" s="261"/>
      <c r="I103" s="261"/>
      <c r="J103" s="261"/>
      <c r="K103" s="261"/>
      <c r="L103" s="54"/>
      <c r="S103"/>
      <c r="T103"/>
      <c r="U103"/>
      <c r="V103"/>
      <c r="W103"/>
      <c r="X103"/>
      <c r="Y103"/>
      <c r="Z103"/>
      <c r="AA103"/>
    </row>
    <row r="104" spans="1:27" x14ac:dyDescent="0.2">
      <c r="A104" s="53"/>
      <c r="B104" s="79" t="str">
        <f>'Template IF 2'!BK2</f>
        <v>2014-15</v>
      </c>
      <c r="C104" s="79" t="str">
        <f>'Template IF 2'!BL2</f>
        <v>2015-16</v>
      </c>
      <c r="D104" s="79" t="str">
        <f>'Template IF 2'!BM2</f>
        <v>2016-17</v>
      </c>
      <c r="E104" s="79" t="str">
        <f>'Template IF 2'!BN2</f>
        <v>2017-18</v>
      </c>
      <c r="F104" s="55"/>
      <c r="G104" s="55"/>
      <c r="H104" s="79" t="str">
        <f>'Template IF 2'!BO2</f>
        <v>2014-15</v>
      </c>
      <c r="I104" s="79" t="str">
        <f>'Template IF 2'!BP2</f>
        <v>2015-16</v>
      </c>
      <c r="J104" s="79" t="str">
        <f>'Template IF 2'!BQ2</f>
        <v>2016-2017</v>
      </c>
      <c r="K104" s="79" t="str">
        <f>'Template IF 2'!BR2</f>
        <v>2017-2018</v>
      </c>
      <c r="L104" s="54"/>
      <c r="S104"/>
      <c r="T104"/>
      <c r="U104"/>
      <c r="V104"/>
      <c r="W104"/>
      <c r="X104"/>
      <c r="Y104"/>
      <c r="Z104"/>
      <c r="AA104"/>
    </row>
    <row r="105" spans="1:27" ht="15.75" customHeight="1" x14ac:dyDescent="0.2">
      <c r="A105" s="64" t="s">
        <v>22</v>
      </c>
      <c r="B105" s="124">
        <f>'Template IF 2'!BK3</f>
        <v>857039</v>
      </c>
      <c r="C105" s="124">
        <f>'Template IF 2'!BL3</f>
        <v>864185</v>
      </c>
      <c r="D105" s="124">
        <f>'Template IF 2'!BM3</f>
        <v>855867</v>
      </c>
      <c r="E105" s="124">
        <f>'Template IF 2'!BN3</f>
        <v>884666</v>
      </c>
      <c r="F105" s="74"/>
      <c r="G105" s="60"/>
      <c r="H105" s="65">
        <f>'Template IF 2'!BO3</f>
        <v>38.32987763684033</v>
      </c>
      <c r="I105" s="65">
        <f>'Template IF 2'!BP3</f>
        <v>38.125285673785129</v>
      </c>
      <c r="J105" s="65">
        <f>'Template IF 2'!BQ3</f>
        <v>37.643231950758704</v>
      </c>
      <c r="K105" s="65">
        <f>'Template IF 2'!BR3</f>
        <v>37.193810997596835</v>
      </c>
      <c r="L105" s="54"/>
      <c r="S105"/>
      <c r="T105"/>
      <c r="U105"/>
      <c r="V105"/>
      <c r="W105"/>
      <c r="X105"/>
      <c r="Y105"/>
      <c r="Z105"/>
      <c r="AA105"/>
    </row>
    <row r="106" spans="1:27" ht="15.75" customHeight="1" x14ac:dyDescent="0.2">
      <c r="A106" s="64" t="str">
        <f>A16</f>
        <v>Aitkin, Itasca, Koochiching</v>
      </c>
      <c r="B106" s="124">
        <f>VLOOKUP($A16,'Template IF 2'!$B$3:$HI$110,62,FALSE)</f>
        <v>10645</v>
      </c>
      <c r="C106" s="124">
        <f>VLOOKUP($A16,'Template IF 2'!$B$3:$HI$110,63,FALSE)</f>
        <v>10453</v>
      </c>
      <c r="D106" s="124">
        <f>VLOOKUP($A16,'Template IF 2'!$B$3:$HI$110,64,FALSE)</f>
        <v>10178</v>
      </c>
      <c r="E106" s="124">
        <f>VLOOKUP($A16,'Template IF 2'!$B$3:$HI$110,65,FALSE)</f>
        <v>10588</v>
      </c>
      <c r="F106" s="74"/>
      <c r="G106" s="60"/>
      <c r="H106" s="75">
        <f>VLOOKUP($A16,'Template IF 2'!$B$3:$HI$110,66,FALSE)</f>
        <v>47.374354156881168</v>
      </c>
      <c r="I106" s="75">
        <f>VLOOKUP($A16,'Template IF 2'!$B$3:$HI$110,67,FALSE)</f>
        <v>47.220893523390416</v>
      </c>
      <c r="J106" s="75">
        <f>VLOOKUP($A16,'Template IF 2'!$B$3:$HI$110,68,FALSE)</f>
        <v>45.922578109648263</v>
      </c>
      <c r="K106" s="76">
        <f>VLOOKUP($A16,'Template IF 2'!$B$3:$HI$110,69,FALSE)</f>
        <v>46.146581035134119</v>
      </c>
      <c r="L106" s="54"/>
      <c r="S106"/>
      <c r="T106"/>
      <c r="U106"/>
      <c r="V106"/>
      <c r="W106"/>
      <c r="X106"/>
      <c r="Y106"/>
      <c r="Z106"/>
      <c r="AA106"/>
    </row>
    <row r="107" spans="1:27" ht="15.75" customHeight="1" x14ac:dyDescent="0.2">
      <c r="A107" s="64" t="str">
        <f>A18</f>
        <v>Anoka County</v>
      </c>
      <c r="B107" s="124">
        <f>VLOOKUP($A18,'Template IF 2'!$B$3:$HI$110,62,FALSE)</f>
        <v>63127</v>
      </c>
      <c r="C107" s="124">
        <f>VLOOKUP($A18,'Template IF 2'!$B$3:$HI$110,63,FALSE)</f>
        <v>63581</v>
      </c>
      <c r="D107" s="124">
        <f>VLOOKUP($A18,'Template IF 2'!$B$3:$HI$110,64,FALSE)</f>
        <v>63269</v>
      </c>
      <c r="E107" s="124">
        <f>VLOOKUP($A18,'Template IF 2'!$B$3:$HI$110,65,FALSE)</f>
        <v>56765</v>
      </c>
      <c r="F107" s="74"/>
      <c r="G107" s="60"/>
      <c r="H107" s="75">
        <f>VLOOKUP($A18,'Template IF 2'!$B$3:$HI$110,66,FALSE)</f>
        <v>35.995691225624533</v>
      </c>
      <c r="I107" s="75">
        <f>VLOOKUP($A18,'Template IF 2'!$B$3:$HI$110,67,FALSE)</f>
        <v>36.194775168682469</v>
      </c>
      <c r="J107" s="75">
        <f>VLOOKUP($A18,'Template IF 2'!$B$3:$HI$110,68,FALSE)</f>
        <v>36.526576996633423</v>
      </c>
      <c r="K107" s="76">
        <f>VLOOKUP($A18,'Template IF 2'!$B$3:$HI$110,69,FALSE)</f>
        <v>35.354531841803926</v>
      </c>
      <c r="L107" s="54"/>
      <c r="S107"/>
      <c r="T107"/>
      <c r="U107"/>
      <c r="V107"/>
      <c r="W107"/>
      <c r="X107"/>
      <c r="Y107"/>
      <c r="Z107"/>
      <c r="AA107"/>
    </row>
    <row r="108" spans="1:27" ht="15.75" customHeight="1" x14ac:dyDescent="0.2">
      <c r="A108" s="64" t="str">
        <f>A20</f>
        <v>Becker County</v>
      </c>
      <c r="B108" s="124">
        <f>VLOOKUP($A20,'Template IF 2'!$B$3:$HI$110,62,FALSE)</f>
        <v>4715</v>
      </c>
      <c r="C108" s="124">
        <f>VLOOKUP($A20,'Template IF 2'!$B$3:$HI$110,63,FALSE)</f>
        <v>4750</v>
      </c>
      <c r="D108" s="124">
        <f>VLOOKUP($A20,'Template IF 2'!$B$3:$HI$110,64,FALSE)</f>
        <v>4595</v>
      </c>
      <c r="E108" s="124">
        <f>VLOOKUP($A20,'Template IF 2'!$B$3:$HI$110,65,FALSE)</f>
        <v>5108</v>
      </c>
      <c r="F108" s="74"/>
      <c r="G108" s="60"/>
      <c r="H108" s="75">
        <f>VLOOKUP($A20,'Template IF 2'!$B$3:$HI$110,66,FALSE)</f>
        <v>44.45387062566278</v>
      </c>
      <c r="I108" s="75">
        <f>VLOOKUP($A20,'Template IF 2'!$B$3:$HI$110,67,FALSE)</f>
        <v>42.736842105263158</v>
      </c>
      <c r="J108" s="75">
        <f>VLOOKUP($A20,'Template IF 2'!$B$3:$HI$110,68,FALSE)</f>
        <v>39.564744287268773</v>
      </c>
      <c r="K108" s="76">
        <f>VLOOKUP($A20,'Template IF 2'!$B$3:$HI$110,69,FALSE)</f>
        <v>41.620986687548942</v>
      </c>
      <c r="L108" s="54"/>
      <c r="S108"/>
      <c r="T108"/>
      <c r="U108"/>
      <c r="V108"/>
      <c r="W108"/>
      <c r="X108"/>
      <c r="Y108"/>
      <c r="Z108"/>
      <c r="AA108"/>
    </row>
    <row r="109" spans="1:27" ht="15.75" customHeight="1" x14ac:dyDescent="0.2">
      <c r="A109" s="64" t="str">
        <f>A22</f>
        <v>Beltrami County</v>
      </c>
      <c r="B109" s="124">
        <f>VLOOKUP($A22,'Template IF 2'!$B$3:$HI$110,62,FALSE)</f>
        <v>8141</v>
      </c>
      <c r="C109" s="124">
        <f>VLOOKUP($A22,'Template IF 2'!$B$3:$HI$110,63,FALSE)</f>
        <v>8231</v>
      </c>
      <c r="D109" s="124">
        <f>VLOOKUP($A22,'Template IF 2'!$B$3:$HI$110,64,FALSE)</f>
        <v>8009</v>
      </c>
      <c r="E109" s="124">
        <f>VLOOKUP($A22,'Template IF 2'!$B$3:$HI$110,65,FALSE)</f>
        <v>8309</v>
      </c>
      <c r="F109" s="74"/>
      <c r="G109" s="60"/>
      <c r="H109" s="75">
        <f>VLOOKUP($A22,'Template IF 2'!$B$3:$HI$110,66,FALSE)</f>
        <v>58.653728043237933</v>
      </c>
      <c r="I109" s="75">
        <f>VLOOKUP($A22,'Template IF 2'!$B$3:$HI$110,67,FALSE)</f>
        <v>59.081521078848255</v>
      </c>
      <c r="J109" s="75">
        <f>VLOOKUP($A22,'Template IF 2'!$B$3:$HI$110,68,FALSE)</f>
        <v>58.271944062929208</v>
      </c>
      <c r="K109" s="76">
        <f>VLOOKUP($A22,'Template IF 2'!$B$3:$HI$110,69,FALSE)</f>
        <v>56.890119147911896</v>
      </c>
      <c r="L109" s="54"/>
      <c r="S109"/>
      <c r="T109"/>
      <c r="U109"/>
      <c r="V109"/>
      <c r="W109"/>
      <c r="X109"/>
      <c r="Y109"/>
      <c r="Z109"/>
      <c r="AA109"/>
    </row>
    <row r="110" spans="1:27" ht="15.75" customHeight="1" x14ac:dyDescent="0.2">
      <c r="A110" s="64" t="str">
        <f>A24</f>
        <v>Benton County</v>
      </c>
      <c r="B110" s="124">
        <f>VLOOKUP($A24,'Template IF 2'!$B$3:$HI$110,62,FALSE)</f>
        <v>6090</v>
      </c>
      <c r="C110" s="124">
        <f>VLOOKUP($A24,'Template IF 2'!$B$3:$HI$110,63,FALSE)</f>
        <v>6274</v>
      </c>
      <c r="D110" s="124">
        <f>VLOOKUP($A24,'Template IF 2'!$B$3:$HI$110,64,FALSE)</f>
        <v>6366</v>
      </c>
      <c r="E110" s="124">
        <f>VLOOKUP($A24,'Template IF 2'!$B$3:$HI$110,65,FALSE)</f>
        <v>7022</v>
      </c>
      <c r="F110" s="74"/>
      <c r="G110" s="60"/>
      <c r="H110" s="75">
        <f>VLOOKUP($A24,'Template IF 2'!$B$3:$HI$110,66,FALSE)</f>
        <v>33.399014778325125</v>
      </c>
      <c r="I110" s="75">
        <f>VLOOKUP($A24,'Template IF 2'!$B$3:$HI$110,67,FALSE)</f>
        <v>33.216448836467961</v>
      </c>
      <c r="J110" s="75">
        <f>VLOOKUP($A24,'Template IF 2'!$B$3:$HI$110,68,FALSE)</f>
        <v>31.479736098020734</v>
      </c>
      <c r="K110" s="76">
        <f>VLOOKUP($A24,'Template IF 2'!$B$3:$HI$110,69,FALSE)</f>
        <v>33.779549985759047</v>
      </c>
      <c r="L110" s="54"/>
      <c r="S110"/>
      <c r="T110"/>
      <c r="U110"/>
      <c r="V110"/>
      <c r="W110"/>
      <c r="X110"/>
      <c r="Y110"/>
      <c r="Z110"/>
      <c r="AA110"/>
    </row>
    <row r="111" spans="1:27" ht="15.75" customHeight="1" x14ac:dyDescent="0.2">
      <c r="A111" s="53" t="str">
        <f>A26</f>
        <v>Big Stone County</v>
      </c>
      <c r="B111" s="125">
        <f>VLOOKUP($A26,'Template IF 2'!$B$3:$HI$110,62,FALSE)</f>
        <v>824</v>
      </c>
      <c r="C111" s="125">
        <f>VLOOKUP($A26,'Template IF 2'!$B$3:$HI$110,63,FALSE)</f>
        <v>820</v>
      </c>
      <c r="D111" s="125">
        <f>VLOOKUP($A26,'Template IF 2'!$B$3:$HI$110,64,FALSE)</f>
        <v>830</v>
      </c>
      <c r="E111" s="125">
        <f>VLOOKUP($A26,'Template IF 2'!$B$3:$HI$110,65,FALSE)</f>
        <v>839</v>
      </c>
      <c r="F111" s="74"/>
      <c r="G111" s="60"/>
      <c r="H111" s="63">
        <f>VLOOKUP($A26,'Template IF 2'!$B$3:$HI$110,66,FALSE)</f>
        <v>42.597087378640779</v>
      </c>
      <c r="I111" s="63">
        <f>VLOOKUP($A26,'Template IF 2'!$B$3:$HI$110,67,FALSE)</f>
        <v>42.560975609756099</v>
      </c>
      <c r="J111" s="63">
        <f>VLOOKUP($A26,'Template IF 2'!$B$3:$HI$110,68,FALSE)</f>
        <v>41.204819277108435</v>
      </c>
      <c r="K111" s="77">
        <f>VLOOKUP($A26,'Template IF 2'!$B$3:$HI$110,69,FALSE)</f>
        <v>41.239570917759238</v>
      </c>
      <c r="L111" s="54"/>
      <c r="S111"/>
      <c r="T111"/>
      <c r="U111"/>
      <c r="V111"/>
      <c r="W111"/>
      <c r="X111"/>
      <c r="Y111"/>
      <c r="Z111"/>
      <c r="AA111"/>
    </row>
    <row r="112" spans="1:27" ht="3.75" customHeight="1" x14ac:dyDescent="0.2">
      <c r="A112" s="52"/>
      <c r="B112" s="57"/>
      <c r="C112" s="57"/>
      <c r="D112" s="57"/>
      <c r="E112" s="57"/>
      <c r="F112" s="54"/>
      <c r="G112" s="54"/>
      <c r="H112" s="54"/>
      <c r="I112" s="54"/>
      <c r="J112" s="54"/>
      <c r="K112" s="54"/>
      <c r="L112" s="54"/>
      <c r="S112"/>
      <c r="T112"/>
      <c r="U112"/>
      <c r="V112"/>
      <c r="W112"/>
      <c r="X112"/>
      <c r="Y112"/>
      <c r="Z112"/>
      <c r="AA112"/>
    </row>
    <row r="113" spans="1:27" ht="15.75" customHeight="1" x14ac:dyDescent="0.2">
      <c r="A113" s="52"/>
      <c r="B113" s="259" t="s">
        <v>149</v>
      </c>
      <c r="C113" s="260"/>
      <c r="D113" s="260"/>
      <c r="E113" s="260"/>
      <c r="F113" s="54"/>
      <c r="G113" s="54"/>
      <c r="H113" s="259" t="s">
        <v>150</v>
      </c>
      <c r="I113" s="260"/>
      <c r="J113" s="260"/>
      <c r="K113" s="260"/>
      <c r="L113" s="54"/>
      <c r="S113"/>
      <c r="T113"/>
      <c r="U113"/>
      <c r="V113"/>
      <c r="W113"/>
      <c r="X113"/>
      <c r="Y113"/>
      <c r="Z113"/>
      <c r="AA113"/>
    </row>
    <row r="114" spans="1:27" ht="15.75" customHeight="1" x14ac:dyDescent="0.2">
      <c r="A114" s="64"/>
      <c r="B114" s="261"/>
      <c r="C114" s="261"/>
      <c r="D114" s="261"/>
      <c r="E114" s="261"/>
      <c r="F114" s="54"/>
      <c r="G114" s="54"/>
      <c r="H114" s="261"/>
      <c r="I114" s="261"/>
      <c r="J114" s="261"/>
      <c r="K114" s="261"/>
      <c r="L114" s="54"/>
      <c r="S114"/>
      <c r="T114"/>
      <c r="U114"/>
      <c r="V114"/>
      <c r="W114"/>
      <c r="X114"/>
      <c r="Y114"/>
      <c r="Z114"/>
      <c r="AA114"/>
    </row>
    <row r="115" spans="1:27" ht="16.5" customHeight="1" x14ac:dyDescent="0.2">
      <c r="A115" s="53"/>
      <c r="B115" s="79" t="str">
        <f>'Template IF 2'!BS2</f>
        <v>2014-15</v>
      </c>
      <c r="C115" s="79" t="str">
        <f>'Template IF 2'!BT2</f>
        <v>2015-16</v>
      </c>
      <c r="D115" s="79" t="str">
        <f>'Template IF 2'!BU2</f>
        <v>2016-17</v>
      </c>
      <c r="E115" s="79" t="str">
        <f>'Template IF 2'!BV2</f>
        <v>2017-18</v>
      </c>
      <c r="F115" s="55"/>
      <c r="G115" s="55"/>
      <c r="H115" s="79" t="str">
        <f>'Template IF 2'!BW2</f>
        <v>2014-15</v>
      </c>
      <c r="I115" s="79" t="str">
        <f>'Template IF 2'!BX2</f>
        <v>2015-16</v>
      </c>
      <c r="J115" s="79" t="str">
        <f>'Template IF 2'!BY2</f>
        <v>2016-17</v>
      </c>
      <c r="K115" s="79" t="str">
        <f>'Template IF 2'!BZ2</f>
        <v>2017-18</v>
      </c>
      <c r="L115" s="54"/>
      <c r="S115"/>
      <c r="T115"/>
      <c r="U115"/>
      <c r="V115"/>
      <c r="W115"/>
      <c r="X115"/>
      <c r="Y115"/>
      <c r="Z115"/>
      <c r="AA115"/>
    </row>
    <row r="116" spans="1:27" ht="15.75" customHeight="1" x14ac:dyDescent="0.2">
      <c r="A116" s="64" t="s">
        <v>22</v>
      </c>
      <c r="B116" s="65">
        <f>'Template IF 2'!BS3</f>
        <v>8.2585506610550983</v>
      </c>
      <c r="C116" s="65">
        <f>'Template IF 2'!BT3</f>
        <v>8.3038932635951799</v>
      </c>
      <c r="D116" s="65">
        <f>'Template IF 2'!BU3</f>
        <v>8.4030579517611965</v>
      </c>
      <c r="E116" s="65">
        <f>'Template IF 2'!BV3</f>
        <v>8.335801308064287</v>
      </c>
      <c r="F116" s="60"/>
      <c r="G116" s="60"/>
      <c r="H116" s="65">
        <f>'Template IF 2'!BW3</f>
        <v>14.945410885618974</v>
      </c>
      <c r="I116" s="65">
        <f>'Template IF 2'!BX3</f>
        <v>15.116323472404636</v>
      </c>
      <c r="J116" s="65">
        <f>'Template IF 2'!BY3</f>
        <v>13.825278927683858</v>
      </c>
      <c r="K116" s="65">
        <f>'Template IF 2'!BZ3</f>
        <v>15.688519735131676</v>
      </c>
      <c r="L116" s="54"/>
      <c r="S116"/>
      <c r="T116"/>
      <c r="U116"/>
      <c r="V116"/>
      <c r="W116"/>
      <c r="X116"/>
      <c r="Y116"/>
      <c r="Z116"/>
      <c r="AA116"/>
    </row>
    <row r="117" spans="1:27" ht="15.75" customHeight="1" x14ac:dyDescent="0.2">
      <c r="A117" s="64" t="str">
        <f>A16</f>
        <v>Aitkin, Itasca, Koochiching</v>
      </c>
      <c r="B117" s="76">
        <f>VLOOKUP($A16,'Template IF 2'!$B$3:$HI$110,70,FALSE)</f>
        <v>0.15030530765617661</v>
      </c>
      <c r="C117" s="76">
        <f>VLOOKUP($A16,'Template IF 2'!$B$3:$HI$110,71,FALSE)</f>
        <v>0.1339328422462451</v>
      </c>
      <c r="D117" s="76">
        <f>VLOOKUP($A16,'Template IF 2'!$B$3:$HI$110,72,FALSE)</f>
        <v>0.19650225977598743</v>
      </c>
      <c r="E117" s="78">
        <f>VLOOKUP($A16,'Template IF 2'!$B$3:$HI$110,73,FALSE)</f>
        <v>0.22667170381564036</v>
      </c>
      <c r="F117" s="60"/>
      <c r="G117" s="60"/>
      <c r="H117" s="62">
        <f>VLOOKUP($A16,'Template IF 2'!$B$3:$HI$110,74,FALSE)</f>
        <v>17.557538750587131</v>
      </c>
      <c r="I117" s="62">
        <f>VLOOKUP($A16,'Template IF 2'!$B$3:$HI$110,75,FALSE)</f>
        <v>18.061800440065053</v>
      </c>
      <c r="J117" s="62">
        <f>VLOOKUP($A16,'Template IF 2'!$B$3:$HI$110,76,FALSE)</f>
        <v>17.223423069365296</v>
      </c>
      <c r="K117" s="62">
        <f>VLOOKUP($A16,'Template IF 2'!$B$3:$HI$110,77,FALSE)</f>
        <v>19.295428787306385</v>
      </c>
      <c r="L117" s="54"/>
      <c r="M117" s="24"/>
      <c r="S117"/>
      <c r="T117"/>
      <c r="U117"/>
      <c r="V117"/>
      <c r="W117"/>
      <c r="X117"/>
      <c r="Y117"/>
      <c r="Z117"/>
      <c r="AA117"/>
    </row>
    <row r="118" spans="1:27" ht="15.75" customHeight="1" x14ac:dyDescent="0.2">
      <c r="A118" s="64" t="str">
        <f>A18</f>
        <v>Anoka County</v>
      </c>
      <c r="B118" s="76">
        <f>VLOOKUP($A18,'Template IF 2'!$B$3:$HI$110,70,FALSE)</f>
        <v>7.3771920097581063</v>
      </c>
      <c r="C118" s="76">
        <f>VLOOKUP($A18,'Template IF 2'!$B$3:$HI$110,71,FALSE)</f>
        <v>7.2238561834510309</v>
      </c>
      <c r="D118" s="76">
        <f>VLOOKUP($A18,'Template IF 2'!$B$3:$HI$110,72,FALSE)</f>
        <v>7.0824574436137757</v>
      </c>
      <c r="E118" s="78">
        <f>VLOOKUP($A18,'Template IF 2'!$B$3:$HI$110,73,FALSE)</f>
        <v>7.102968378402184</v>
      </c>
      <c r="F118" s="60"/>
      <c r="G118" s="60"/>
      <c r="H118" s="62">
        <f>VLOOKUP($A18,'Template IF 2'!$B$3:$HI$110,74,FALSE)</f>
        <v>14.892201435202052</v>
      </c>
      <c r="I118" s="62">
        <f>VLOOKUP($A18,'Template IF 2'!$B$3:$HI$110,75,FALSE)</f>
        <v>15.141315801890501</v>
      </c>
      <c r="J118" s="62">
        <f>VLOOKUP($A18,'Template IF 2'!$B$3:$HI$110,76,FALSE)</f>
        <v>13.894640345192748</v>
      </c>
      <c r="K118" s="62">
        <f>VLOOKUP($A18,'Template IF 2'!$B$3:$HI$110,77,FALSE)</f>
        <v>16.200123315423237</v>
      </c>
      <c r="L118" s="54"/>
      <c r="M118" s="24"/>
      <c r="S118"/>
      <c r="T118"/>
      <c r="U118"/>
      <c r="V118"/>
      <c r="W118"/>
      <c r="X118"/>
      <c r="Y118"/>
      <c r="Z118"/>
      <c r="AA118"/>
    </row>
    <row r="119" spans="1:27" ht="15.75" customHeight="1" x14ac:dyDescent="0.2">
      <c r="A119" s="64" t="str">
        <f>A20</f>
        <v>Becker County</v>
      </c>
      <c r="B119" s="76">
        <f>VLOOKUP($A20,'Template IF 2'!$B$3:$HI$110,70,FALSE)</f>
        <v>0.38176033934252385</v>
      </c>
      <c r="C119" s="76">
        <f>VLOOKUP($A20,'Template IF 2'!$B$3:$HI$110,71,FALSE)</f>
        <v>0.25263157894736843</v>
      </c>
      <c r="D119" s="76">
        <f>VLOOKUP($A20,'Template IF 2'!$B$3:$HI$110,72,FALSE)</f>
        <v>0.15233949945593037</v>
      </c>
      <c r="E119" s="78">
        <f>VLOOKUP($A20,'Template IF 2'!$B$3:$HI$110,73,FALSE)</f>
        <v>0.15661707126076743</v>
      </c>
      <c r="F119" s="60"/>
      <c r="G119" s="60"/>
      <c r="H119" s="62">
        <f>VLOOKUP($A20,'Template IF 2'!$B$3:$HI$110,74,FALSE)</f>
        <v>21.039236479321314</v>
      </c>
      <c r="I119" s="62">
        <f>VLOOKUP($A20,'Template IF 2'!$B$3:$HI$110,75,FALSE)</f>
        <v>21.978947368421053</v>
      </c>
      <c r="J119" s="62">
        <f>VLOOKUP($A20,'Template IF 2'!$B$3:$HI$110,76,FALSE)</f>
        <v>18.215451577801957</v>
      </c>
      <c r="K119" s="62">
        <f>VLOOKUP($A20,'Template IF 2'!$B$3:$HI$110,77,FALSE)</f>
        <v>19.694596711041505</v>
      </c>
      <c r="L119" s="54"/>
      <c r="S119"/>
      <c r="T119"/>
      <c r="U119"/>
      <c r="V119"/>
      <c r="W119"/>
      <c r="X119"/>
      <c r="Y119"/>
      <c r="Z119"/>
      <c r="AA119"/>
    </row>
    <row r="120" spans="1:27" ht="15.75" customHeight="1" x14ac:dyDescent="0.2">
      <c r="A120" s="64" t="str">
        <f>A22</f>
        <v>Beltrami County</v>
      </c>
      <c r="B120" s="76">
        <f>VLOOKUP($A22,'Template IF 2'!$B$3:$HI$110,70,FALSE)</f>
        <v>1.0932317897064243</v>
      </c>
      <c r="C120" s="76">
        <f>VLOOKUP($A22,'Template IF 2'!$B$3:$HI$110,71,FALSE)</f>
        <v>0.20653626533835501</v>
      </c>
      <c r="D120" s="76">
        <f>VLOOKUP($A22,'Template IF 2'!$B$3:$HI$110,72,FALSE)</f>
        <v>0.22474715944562368</v>
      </c>
      <c r="E120" s="78">
        <f>VLOOKUP($A22,'Template IF 2'!$B$3:$HI$110,73,FALSE)</f>
        <v>0.20459742447948007</v>
      </c>
      <c r="F120" s="60"/>
      <c r="G120" s="60"/>
      <c r="H120" s="62">
        <f>VLOOKUP($A22,'Template IF 2'!$B$3:$HI$110,74,FALSE)</f>
        <v>18.658641444539981</v>
      </c>
      <c r="I120" s="62">
        <f>VLOOKUP($A22,'Template IF 2'!$B$3:$HI$110,75,FALSE)</f>
        <v>19.244320252703194</v>
      </c>
      <c r="J120" s="62">
        <f>VLOOKUP($A22,'Template IF 2'!$B$3:$HI$110,76,FALSE)</f>
        <v>17.567736296666251</v>
      </c>
      <c r="K120" s="62">
        <f>VLOOKUP($A22,'Template IF 2'!$B$3:$HI$110,77,FALSE)</f>
        <v>20.243109880852089</v>
      </c>
      <c r="L120" s="54"/>
      <c r="S120"/>
      <c r="T120"/>
      <c r="U120"/>
      <c r="V120"/>
      <c r="W120"/>
      <c r="X120"/>
      <c r="Y120"/>
      <c r="Z120"/>
      <c r="AA120"/>
    </row>
    <row r="121" spans="1:27" ht="15.75" customHeight="1" x14ac:dyDescent="0.2">
      <c r="A121" s="64" t="str">
        <f>A24</f>
        <v>Benton County</v>
      </c>
      <c r="B121" s="76">
        <f>VLOOKUP($A24,'Template IF 2'!$B$3:$HI$110,70,FALSE)</f>
        <v>0.47619047619047616</v>
      </c>
      <c r="C121" s="76">
        <f>VLOOKUP($A24,'Template IF 2'!$B$3:$HI$110,71,FALSE)</f>
        <v>0.7013069811922219</v>
      </c>
      <c r="D121" s="76">
        <f>VLOOKUP($A24,'Template IF 2'!$B$3:$HI$110,72,FALSE)</f>
        <v>0.78542255733584665</v>
      </c>
      <c r="E121" s="78">
        <f>VLOOKUP($A24,'Template IF 2'!$B$3:$HI$110,73,FALSE)</f>
        <v>2.1076616348618629</v>
      </c>
      <c r="F121" s="60"/>
      <c r="G121" s="60"/>
      <c r="H121" s="62">
        <f>VLOOKUP($A24,'Template IF 2'!$B$3:$HI$110,74,FALSE)</f>
        <v>16.962233169129721</v>
      </c>
      <c r="I121" s="62">
        <f>VLOOKUP($A24,'Template IF 2'!$B$3:$HI$110,75,FALSE)</f>
        <v>16.97481670385719</v>
      </c>
      <c r="J121" s="62">
        <f>VLOOKUP($A24,'Template IF 2'!$B$3:$HI$110,76,FALSE)</f>
        <v>15.865535658184102</v>
      </c>
      <c r="K121" s="62">
        <f>VLOOKUP($A24,'Template IF 2'!$B$3:$HI$110,77,FALSE)</f>
        <v>17.402449444602677</v>
      </c>
      <c r="L121" s="54"/>
      <c r="S121"/>
      <c r="T121"/>
      <c r="U121"/>
      <c r="V121"/>
      <c r="W121"/>
      <c r="X121"/>
      <c r="Y121"/>
      <c r="Z121"/>
      <c r="AA121"/>
    </row>
    <row r="122" spans="1:27" ht="15.75" customHeight="1" x14ac:dyDescent="0.2">
      <c r="A122" s="53" t="str">
        <f>A26</f>
        <v>Big Stone County</v>
      </c>
      <c r="B122" s="77">
        <f>VLOOKUP($A26,'Template IF 2'!$B$3:$HI$110,70,FALSE)</f>
        <v>2.063106796116505</v>
      </c>
      <c r="C122" s="77">
        <f>VLOOKUP($A26,'Template IF 2'!$B$3:$HI$110,71,FALSE)</f>
        <v>1.3414634146341464</v>
      </c>
      <c r="D122" s="77">
        <f>VLOOKUP($A26,'Template IF 2'!$B$3:$HI$110,72,FALSE)</f>
        <v>1.5662650602409638</v>
      </c>
      <c r="E122" s="70">
        <f>VLOOKUP($A26,'Template IF 2'!$B$3:$HI$110,73,FALSE)</f>
        <v>1.4302741358760429</v>
      </c>
      <c r="F122" s="60"/>
      <c r="G122" s="60"/>
      <c r="H122" s="63">
        <f>VLOOKUP($A26,'Template IF 2'!$B$3:$HI$110,74,FALSE)</f>
        <v>15.048543689320388</v>
      </c>
      <c r="I122" s="63">
        <f>VLOOKUP($A26,'Template IF 2'!$B$3:$HI$110,75,FALSE)</f>
        <v>15.975609756097562</v>
      </c>
      <c r="J122" s="63">
        <f>VLOOKUP($A26,'Template IF 2'!$B$3:$HI$110,76,FALSE)</f>
        <v>16.14457831325301</v>
      </c>
      <c r="K122" s="63">
        <f>VLOOKUP($A26,'Template IF 2'!$B$3:$HI$110,77,FALSE)</f>
        <v>20.023837902264603</v>
      </c>
      <c r="L122" s="54"/>
      <c r="S122"/>
      <c r="T122"/>
      <c r="U122"/>
      <c r="V122"/>
      <c r="W122"/>
      <c r="X122"/>
      <c r="Y122"/>
      <c r="Z122"/>
      <c r="AA122"/>
    </row>
    <row r="123" spans="1:27" x14ac:dyDescent="0.2">
      <c r="A123" s="52"/>
      <c r="B123" s="259" t="s">
        <v>168</v>
      </c>
      <c r="C123" s="260"/>
      <c r="D123" s="260"/>
      <c r="E123" s="260"/>
      <c r="F123" s="54"/>
      <c r="G123" s="54"/>
      <c r="H123" s="259" t="s">
        <v>167</v>
      </c>
      <c r="I123" s="260"/>
      <c r="J123" s="260"/>
      <c r="K123" s="260"/>
      <c r="L123" s="54"/>
      <c r="S123"/>
      <c r="T123"/>
      <c r="U123"/>
      <c r="V123"/>
      <c r="W123"/>
      <c r="X123"/>
      <c r="Y123"/>
      <c r="Z123"/>
      <c r="AA123"/>
    </row>
    <row r="124" spans="1:27" x14ac:dyDescent="0.2">
      <c r="A124" s="64"/>
      <c r="B124" s="261"/>
      <c r="C124" s="261"/>
      <c r="D124" s="261"/>
      <c r="E124" s="261"/>
      <c r="F124" s="54"/>
      <c r="G124" s="54"/>
      <c r="H124" s="261"/>
      <c r="I124" s="261"/>
      <c r="J124" s="261"/>
      <c r="K124" s="261"/>
      <c r="L124" s="54"/>
      <c r="S124"/>
      <c r="T124"/>
      <c r="U124"/>
      <c r="V124"/>
      <c r="W124"/>
      <c r="X124"/>
      <c r="Y124"/>
      <c r="Z124"/>
      <c r="AA124"/>
    </row>
    <row r="125" spans="1:27" x14ac:dyDescent="0.2">
      <c r="A125" s="53"/>
      <c r="B125" s="79" t="str">
        <f>'Template IF 2'!CA2</f>
        <v>2014-15</v>
      </c>
      <c r="C125" s="79" t="str">
        <f>'Template IF 2'!CB2</f>
        <v>2015-16</v>
      </c>
      <c r="D125" s="79" t="str">
        <f>'Template IF 2'!CC2</f>
        <v>2016-17</v>
      </c>
      <c r="E125" s="79" t="str">
        <f>'Template IF 2'!CD2</f>
        <v>2017-18</v>
      </c>
      <c r="F125" s="54"/>
      <c r="G125" s="54"/>
      <c r="H125" s="79" t="str">
        <f>'Template IF 2'!CE2</f>
        <v>2014-15</v>
      </c>
      <c r="I125" s="79" t="str">
        <f>'Template IF 2'!CF2</f>
        <v>2015-16</v>
      </c>
      <c r="J125" s="79" t="str">
        <f>'Template IF 2'!CG2</f>
        <v>2016-17</v>
      </c>
      <c r="K125" s="79" t="str">
        <f>'Template IF 2'!CH2</f>
        <v>2017-18</v>
      </c>
      <c r="L125" s="54"/>
      <c r="S125"/>
      <c r="T125"/>
      <c r="U125"/>
      <c r="V125"/>
      <c r="W125"/>
      <c r="X125"/>
      <c r="Y125"/>
      <c r="Z125"/>
      <c r="AA125"/>
    </row>
    <row r="126" spans="1:27" ht="15.75" customHeight="1" x14ac:dyDescent="0.2">
      <c r="A126" s="64" t="s">
        <v>22</v>
      </c>
      <c r="B126" s="65">
        <f>'Template IF 2'!CA3</f>
        <v>82.084009155815608</v>
      </c>
      <c r="C126" s="65" t="e">
        <f>'Template IF 2'!#REF!</f>
        <v>#REF!</v>
      </c>
      <c r="D126" s="80">
        <f>'Template IF 2'!CB3</f>
        <v>82.517130343217303</v>
      </c>
      <c r="E126" s="80">
        <f>'Template IF 2'!CD3</f>
        <v>83.2</v>
      </c>
      <c r="F126" s="54"/>
      <c r="G126" s="54"/>
      <c r="H126" s="199">
        <f>'Template IF 2'!CE3</f>
        <v>4.1367915232912429</v>
      </c>
      <c r="I126" s="199" t="e">
        <f>'Template IF 2'!#REF!</f>
        <v>#REF!</v>
      </c>
      <c r="J126" s="199">
        <f>'Template IF 2'!CF3</f>
        <v>5.4768060836501897</v>
      </c>
      <c r="K126" s="204">
        <f>'Template IF 2'!CH3</f>
        <v>4.5599999999999996</v>
      </c>
      <c r="L126" s="54"/>
      <c r="S126"/>
      <c r="T126"/>
      <c r="U126"/>
      <c r="V126"/>
      <c r="W126"/>
      <c r="X126"/>
      <c r="Y126"/>
      <c r="Z126"/>
      <c r="AA126"/>
    </row>
    <row r="127" spans="1:27" ht="15.75" customHeight="1" x14ac:dyDescent="0.2">
      <c r="A127" s="64" t="str">
        <f>A16</f>
        <v>Aitkin, Itasca, Koochiching</v>
      </c>
      <c r="B127" s="62">
        <f>VLOOKUP($A16,'Template IF 2'!$B$3:$HI$110,78,FALSE)</f>
        <v>86.202531645569621</v>
      </c>
      <c r="C127" s="62">
        <f>VLOOKUP($A16,'Template IF 2'!$B$3:$HI$110,79,FALSE)</f>
        <v>86.506024096385545</v>
      </c>
      <c r="D127" s="81">
        <f>VLOOKUP($A16,'Template IF 2'!$B$3:$HI$110,80,FALSE)</f>
        <v>88.639053254437869</v>
      </c>
      <c r="E127" s="81">
        <f>VLOOKUP($A16,'Template IF 2'!$B$3:$HI$110,81,FALSE)</f>
        <v>88.930348258706474</v>
      </c>
      <c r="F127" s="75"/>
      <c r="G127" s="75"/>
      <c r="H127" s="201">
        <f>VLOOKUP($A16,'Template IF 2'!$B$3:$HI$110,82,FALSE)</f>
        <v>3.9240506329113924</v>
      </c>
      <c r="I127" s="201">
        <f>VLOOKUP($A16,'Template IF 2'!$B$3:$HI$110,83,FALSE)</f>
        <v>4.8134777376654636</v>
      </c>
      <c r="J127" s="201">
        <f>VLOOKUP($A16,'Template IF 2'!$B$3:$HI$110,84,FALSE)</f>
        <v>4.0236686390532546</v>
      </c>
      <c r="K127" s="204">
        <f>VLOOKUP($A16,'Template IF 2'!$B$3:$HI$110,85,FALSE)</f>
        <v>3.4825870646766171</v>
      </c>
      <c r="L127" s="54"/>
      <c r="S127"/>
      <c r="T127"/>
      <c r="U127"/>
      <c r="V127"/>
      <c r="W127"/>
      <c r="X127"/>
      <c r="Y127"/>
      <c r="Z127"/>
      <c r="AA127"/>
    </row>
    <row r="128" spans="1:27" ht="15.75" customHeight="1" x14ac:dyDescent="0.2">
      <c r="A128" s="64" t="str">
        <f>A18</f>
        <v>Anoka County</v>
      </c>
      <c r="B128" s="62">
        <f>VLOOKUP($A18,'Template IF 2'!$B$3:$HI$110,78,FALSE)</f>
        <v>81.443061318579993</v>
      </c>
      <c r="C128" s="62">
        <f>VLOOKUP($A18,'Template IF 2'!$B$3:$HI$110,79,FALSE)</f>
        <v>82.340525328330202</v>
      </c>
      <c r="D128" s="81">
        <f>VLOOKUP($A18,'Template IF 2'!$B$3:$HI$110,80,FALSE)</f>
        <v>80.180000000000007</v>
      </c>
      <c r="E128" s="81">
        <f>VLOOKUP($A18,'Template IF 2'!$B$3:$HI$110,81,FALSE)</f>
        <v>82.69</v>
      </c>
      <c r="F128" s="54"/>
      <c r="G128" s="54"/>
      <c r="H128" s="201">
        <f>VLOOKUP($A18,'Template IF 2'!$B$3:$HI$110,82,FALSE)</f>
        <v>3.0428769017980635</v>
      </c>
      <c r="I128" s="201">
        <f>VLOOKUP($A18,'Template IF 2'!$B$3:$HI$110,83,FALSE)</f>
        <v>3.8542890716803759</v>
      </c>
      <c r="J128" s="201">
        <f>VLOOKUP($A18,'Template IF 2'!$B$3:$HI$110,84,FALSE)</f>
        <v>4.34</v>
      </c>
      <c r="K128" s="204">
        <f>VLOOKUP($A18,'Template IF 2'!$B$3:$HI$110,85,FALSE)</f>
        <v>4.29</v>
      </c>
      <c r="L128" s="54"/>
      <c r="S128"/>
      <c r="T128"/>
      <c r="U128"/>
      <c r="V128"/>
      <c r="W128"/>
      <c r="X128"/>
      <c r="Y128"/>
      <c r="Z128"/>
      <c r="AA128"/>
    </row>
    <row r="129" spans="1:27" ht="15.75" customHeight="1" x14ac:dyDescent="0.2">
      <c r="A129" s="64" t="str">
        <f>A20</f>
        <v>Becker County</v>
      </c>
      <c r="B129" s="62">
        <f>VLOOKUP($A20,'Template IF 2'!$B$3:$HI$110,78,FALSE)</f>
        <v>85.526315789473685</v>
      </c>
      <c r="C129" s="62">
        <f>VLOOKUP($A20,'Template IF 2'!$B$3:$HI$110,79,FALSE)</f>
        <v>85.47486033519553</v>
      </c>
      <c r="D129" s="81">
        <f>VLOOKUP($A20,'Template IF 2'!$B$3:$HI$110,80,FALSE)</f>
        <v>86.25</v>
      </c>
      <c r="E129" s="81">
        <f>VLOOKUP($A20,'Template IF 2'!$B$3:$HI$110,81,FALSE)</f>
        <v>88.1</v>
      </c>
      <c r="F129" s="54"/>
      <c r="G129" s="54"/>
      <c r="H129" s="201">
        <f>VLOOKUP($A20,'Template IF 2'!$B$3:$HI$110,82,FALSE)</f>
        <v>3.4210526315789478</v>
      </c>
      <c r="I129" s="201">
        <f>VLOOKUP($A20,'Template IF 2'!$B$3:$HI$110,83,FALSE)</f>
        <v>6.1111111111111107</v>
      </c>
      <c r="J129" s="201">
        <f>VLOOKUP($A20,'Template IF 2'!$B$3:$HI$110,84,FALSE)</f>
        <v>6.3</v>
      </c>
      <c r="K129" s="204">
        <f>VLOOKUP($A20,'Template IF 2'!$B$3:$HI$110,85,FALSE)</f>
        <v>4.25</v>
      </c>
      <c r="L129" s="54"/>
      <c r="S129"/>
      <c r="T129"/>
      <c r="U129"/>
      <c r="V129"/>
      <c r="W129"/>
      <c r="X129"/>
      <c r="Y129"/>
      <c r="Z129"/>
      <c r="AA129"/>
    </row>
    <row r="130" spans="1:27" ht="15.75" customHeight="1" x14ac:dyDescent="0.2">
      <c r="A130" s="64" t="str">
        <f>A22</f>
        <v>Beltrami County</v>
      </c>
      <c r="B130" s="62">
        <f>VLOOKUP($A22,'Template IF 2'!$B$3:$HI$110,78,FALSE)</f>
        <v>60.75949367088608</v>
      </c>
      <c r="C130" s="62">
        <f>VLOOKUP($A22,'Template IF 2'!$B$3:$HI$110,79,FALSE)</f>
        <v>62.72285251215559</v>
      </c>
      <c r="D130" s="81">
        <f>VLOOKUP($A22,'Template IF 2'!$B$3:$HI$110,80,FALSE)</f>
        <v>66.17</v>
      </c>
      <c r="E130" s="81">
        <f>VLOOKUP($A22,'Template IF 2'!$B$3:$HI$110,81,FALSE)</f>
        <v>64.59</v>
      </c>
      <c r="F130" s="54"/>
      <c r="G130" s="54"/>
      <c r="H130" s="201">
        <f>VLOOKUP($A22,'Template IF 2'!$B$3:$HI$110,82,FALSE)</f>
        <v>11.39240506329114</v>
      </c>
      <c r="I130" s="201">
        <f>VLOOKUP($A22,'Template IF 2'!$B$3:$HI$110,83,FALSE)</f>
        <v>13.843648208469055</v>
      </c>
      <c r="J130" s="201">
        <f>VLOOKUP($A22,'Template IF 2'!$B$3:$HI$110,84,FALSE)</f>
        <v>11.99</v>
      </c>
      <c r="K130" s="204">
        <f>VLOOKUP($A22,'Template IF 2'!$B$3:$HI$110,85,FALSE)</f>
        <v>13.11</v>
      </c>
      <c r="L130" s="54"/>
      <c r="S130"/>
      <c r="T130"/>
      <c r="U130"/>
      <c r="V130"/>
      <c r="W130"/>
      <c r="X130"/>
      <c r="Y130"/>
      <c r="Z130"/>
      <c r="AA130"/>
    </row>
    <row r="131" spans="1:27" ht="15.75" customHeight="1" x14ac:dyDescent="0.2">
      <c r="A131" s="64" t="str">
        <f>A24</f>
        <v>Benton County</v>
      </c>
      <c r="B131" s="62">
        <f>VLOOKUP($A24,'Template IF 2'!$B$3:$HI$110,78,FALSE)</f>
        <v>89.569160997732425</v>
      </c>
      <c r="C131" s="62">
        <f>VLOOKUP($A24,'Template IF 2'!$B$3:$HI$110,79,FALSE)</f>
        <v>90.398126463700237</v>
      </c>
      <c r="D131" s="81">
        <f>VLOOKUP($A24,'Template IF 2'!$B$3:$HI$110,80,FALSE)</f>
        <v>90.04</v>
      </c>
      <c r="E131" s="81">
        <f>VLOOKUP($A24,'Template IF 2'!$B$3:$HI$110,81,FALSE)</f>
        <v>88.63</v>
      </c>
      <c r="F131" s="54"/>
      <c r="G131" s="54"/>
      <c r="H131" s="201">
        <f>VLOOKUP($A24,'Template IF 2'!$B$3:$HI$110,82,FALSE)</f>
        <v>2.947845804988662</v>
      </c>
      <c r="I131" s="201">
        <f>VLOOKUP($A24,'Template IF 2'!$B$3:$HI$110,83,FALSE)</f>
        <v>1.1682242990654206</v>
      </c>
      <c r="J131" s="201">
        <f>VLOOKUP($A24,'Template IF 2'!$B$3:$HI$110,84,FALSE)</f>
        <v>1.55</v>
      </c>
      <c r="K131" s="204">
        <f>VLOOKUP($A24,'Template IF 2'!$B$3:$HI$110,85,FALSE)</f>
        <v>2.79</v>
      </c>
      <c r="L131" s="54"/>
      <c r="S131"/>
      <c r="T131"/>
      <c r="U131"/>
      <c r="V131"/>
      <c r="W131"/>
      <c r="X131"/>
      <c r="Y131"/>
      <c r="Z131"/>
      <c r="AA131"/>
    </row>
    <row r="132" spans="1:27" ht="15.75" customHeight="1" x14ac:dyDescent="0.2">
      <c r="A132" s="53" t="str">
        <f>A26</f>
        <v>Big Stone County</v>
      </c>
      <c r="B132" s="63">
        <f>VLOOKUP($A26,'Template IF 2'!$B$3:$HI$110,78,FALSE)</f>
        <v>91.891891891891902</v>
      </c>
      <c r="C132" s="63">
        <f>VLOOKUP($A26,'Template IF 2'!$B$3:$HI$110,79,FALSE)</f>
        <v>92.307692307692307</v>
      </c>
      <c r="D132" s="82">
        <f>VLOOKUP($A26,'Template IF 2'!$B$3:$HI$110,80,FALSE)</f>
        <v>93.42</v>
      </c>
      <c r="E132" s="82">
        <f>VLOOKUP($A26,'Template IF 2'!$B$3:$HI$110,81,FALSE)</f>
        <v>87.69</v>
      </c>
      <c r="F132" s="55"/>
      <c r="G132" s="55"/>
      <c r="H132" s="203">
        <f>VLOOKUP($A26,'Template IF 2'!$B$3:$HI$110,82,FALSE)</f>
        <v>1.3513513513513513</v>
      </c>
      <c r="I132" s="203">
        <f>VLOOKUP($A26,'Template IF 2'!$B$3:$HI$110,83,FALSE)</f>
        <v>0</v>
      </c>
      <c r="J132" s="203">
        <f>VLOOKUP($A26,'Template IF 2'!$B$3:$HI$110,84,FALSE)</f>
        <v>2.63</v>
      </c>
      <c r="K132" s="203">
        <f>VLOOKUP($A26,'Template IF 2'!$B$3:$HI$110,85,FALSE)</f>
        <v>1.54</v>
      </c>
      <c r="L132" s="54"/>
      <c r="S132"/>
      <c r="T132"/>
      <c r="U132"/>
      <c r="V132"/>
      <c r="W132"/>
      <c r="X132"/>
      <c r="Y132"/>
      <c r="Z132"/>
      <c r="AA132"/>
    </row>
    <row r="133" spans="1:27" x14ac:dyDescent="0.2">
      <c r="A133" s="52"/>
      <c r="B133" s="52"/>
      <c r="C133" s="54"/>
      <c r="D133" s="54"/>
      <c r="E133" s="54"/>
      <c r="F133" s="54"/>
      <c r="G133" s="54"/>
      <c r="H133" s="52"/>
      <c r="I133" s="54"/>
      <c r="J133" s="54"/>
      <c r="K133" s="54"/>
      <c r="L133" s="54"/>
      <c r="S133"/>
      <c r="T133"/>
      <c r="U133"/>
      <c r="V133"/>
      <c r="W133"/>
      <c r="X133"/>
      <c r="Y133"/>
      <c r="Z133"/>
      <c r="AA133"/>
    </row>
    <row r="134" spans="1:27" ht="14.25" x14ac:dyDescent="0.2">
      <c r="A134" s="267" t="s">
        <v>454</v>
      </c>
      <c r="B134" s="267"/>
      <c r="C134" s="267"/>
      <c r="D134" s="267"/>
      <c r="E134" s="267"/>
      <c r="F134" s="267"/>
      <c r="G134" s="267"/>
      <c r="H134" s="267"/>
      <c r="I134" s="267"/>
      <c r="J134" s="267"/>
      <c r="K134" s="267"/>
      <c r="L134" s="267"/>
      <c r="S134"/>
      <c r="T134"/>
      <c r="U134"/>
      <c r="V134"/>
      <c r="W134"/>
      <c r="X134"/>
      <c r="Y134"/>
      <c r="Z134"/>
      <c r="AA134"/>
    </row>
    <row r="135" spans="1:27" hidden="1" x14ac:dyDescent="0.2">
      <c r="A135" s="52"/>
      <c r="B135" s="54"/>
      <c r="C135" s="54"/>
      <c r="D135" s="54"/>
      <c r="E135" s="54"/>
      <c r="F135" s="54"/>
      <c r="G135" s="54"/>
      <c r="H135" s="54"/>
      <c r="I135" s="54"/>
      <c r="J135" s="54"/>
      <c r="K135" s="54"/>
      <c r="L135" s="54"/>
      <c r="S135"/>
      <c r="T135"/>
      <c r="U135"/>
      <c r="V135"/>
      <c r="W135"/>
      <c r="X135"/>
      <c r="Y135"/>
      <c r="Z135"/>
      <c r="AA135"/>
    </row>
    <row r="136" spans="1:27" hidden="1" x14ac:dyDescent="0.2">
      <c r="A136" s="52"/>
      <c r="B136" s="54"/>
      <c r="C136" s="54"/>
      <c r="D136" s="54"/>
      <c r="E136" s="54"/>
      <c r="F136" s="54"/>
      <c r="G136" s="54"/>
      <c r="H136" s="54"/>
      <c r="I136" s="54"/>
      <c r="J136" s="54"/>
      <c r="K136" s="54"/>
      <c r="L136" s="54"/>
      <c r="S136"/>
      <c r="T136"/>
      <c r="U136"/>
      <c r="V136"/>
      <c r="W136"/>
      <c r="X136"/>
      <c r="Y136"/>
      <c r="Z136"/>
      <c r="AA136"/>
    </row>
    <row r="137" spans="1:27" hidden="1" x14ac:dyDescent="0.2">
      <c r="A137" s="52"/>
      <c r="B137" s="54"/>
      <c r="C137" s="54"/>
      <c r="D137" s="54"/>
      <c r="E137" s="54"/>
      <c r="F137" s="54"/>
      <c r="G137" s="54"/>
      <c r="H137" s="54"/>
      <c r="I137" s="54"/>
      <c r="J137" s="54"/>
      <c r="K137" s="54"/>
      <c r="L137" s="54"/>
      <c r="S137"/>
      <c r="T137"/>
      <c r="U137"/>
      <c r="V137"/>
      <c r="W137"/>
      <c r="X137"/>
      <c r="Y137"/>
      <c r="Z137"/>
      <c r="AA137"/>
    </row>
    <row r="138" spans="1:27" x14ac:dyDescent="0.2">
      <c r="A138" s="64"/>
      <c r="B138" s="261" t="s">
        <v>35</v>
      </c>
      <c r="C138" s="261"/>
      <c r="D138" s="261"/>
      <c r="E138" s="261"/>
      <c r="F138" s="83"/>
      <c r="G138" s="54"/>
      <c r="H138" s="261" t="s">
        <v>36</v>
      </c>
      <c r="I138" s="261"/>
      <c r="J138" s="261"/>
      <c r="K138" s="261"/>
      <c r="L138" s="83"/>
      <c r="S138"/>
      <c r="T138"/>
      <c r="U138"/>
      <c r="V138"/>
      <c r="W138"/>
      <c r="X138"/>
      <c r="Y138"/>
      <c r="Z138"/>
      <c r="AA138"/>
    </row>
    <row r="139" spans="1:27" x14ac:dyDescent="0.2">
      <c r="A139" s="53"/>
      <c r="B139" s="84" t="s">
        <v>498</v>
      </c>
      <c r="C139" s="84" t="s">
        <v>499</v>
      </c>
      <c r="D139" s="84" t="s">
        <v>500</v>
      </c>
      <c r="E139" s="84" t="s">
        <v>501</v>
      </c>
      <c r="F139" s="55"/>
      <c r="G139" s="55"/>
      <c r="H139" s="84" t="s">
        <v>498</v>
      </c>
      <c r="I139" s="84" t="s">
        <v>499</v>
      </c>
      <c r="J139" s="84" t="s">
        <v>500</v>
      </c>
      <c r="K139" s="84" t="s">
        <v>501</v>
      </c>
      <c r="L139" s="27"/>
      <c r="N139"/>
      <c r="O139"/>
      <c r="S139"/>
      <c r="T139"/>
      <c r="U139"/>
      <c r="V139"/>
      <c r="W139"/>
      <c r="X139"/>
      <c r="Y139"/>
      <c r="Z139"/>
      <c r="AA139"/>
    </row>
    <row r="140" spans="1:27" ht="14.1" customHeight="1" x14ac:dyDescent="0.2">
      <c r="A140" s="64" t="s">
        <v>22</v>
      </c>
      <c r="B140" s="124">
        <f>'Template IF 2'!CI3</f>
        <v>333265</v>
      </c>
      <c r="C140" s="124">
        <f>'Template IF 2'!CJ3</f>
        <v>358777</v>
      </c>
      <c r="D140" s="124">
        <f>'Template IF 2'!CK3</f>
        <v>348605</v>
      </c>
      <c r="E140" s="124">
        <f>'Template IF 2'!CL3</f>
        <v>347279</v>
      </c>
      <c r="F140" s="60"/>
      <c r="G140" s="60"/>
      <c r="H140" s="140">
        <f>'Template IF 2'!CM3</f>
        <v>13.644611075666516</v>
      </c>
      <c r="I140" s="140">
        <f>'Template IF 2'!CN3</f>
        <v>17.417645254292804</v>
      </c>
      <c r="J140" s="140">
        <f>'Template IF 2'!CO3</f>
        <v>13.147695761705318</v>
      </c>
      <c r="K140" s="140">
        <f>'Template IF 2'!CP3</f>
        <v>12.645016395275146</v>
      </c>
      <c r="L140" s="60"/>
      <c r="N140"/>
      <c r="O140"/>
      <c r="S140"/>
      <c r="T140"/>
      <c r="U140"/>
      <c r="V140"/>
      <c r="W140"/>
      <c r="X140"/>
      <c r="Y140"/>
      <c r="Z140"/>
      <c r="AA140"/>
    </row>
    <row r="141" spans="1:27" ht="14.1" customHeight="1" x14ac:dyDescent="0.2">
      <c r="A141" s="64" t="str">
        <f>A16</f>
        <v>Aitkin, Itasca, Koochiching</v>
      </c>
      <c r="B141" s="124">
        <f>VLOOKUP($A16,'Template IF 2'!$B$3:$HI$110,86,FALSE)</f>
        <v>3629</v>
      </c>
      <c r="C141" s="124">
        <f>VLOOKUP($A16,'Template IF 2'!$B$3:$HI$110,87,FALSE)</f>
        <v>3882</v>
      </c>
      <c r="D141" s="124">
        <f>VLOOKUP($A16,'Template IF 2'!$B$3:$HI$110,88,FALSE)</f>
        <v>3532</v>
      </c>
      <c r="E141" s="124">
        <f>VLOOKUP($A16,'Template IF 2'!$B$3:$HI$110,89,FALSE)</f>
        <v>3434</v>
      </c>
      <c r="F141" s="60"/>
      <c r="G141" s="60"/>
      <c r="H141" s="146">
        <f>VLOOKUP($A16,'Template IF 2'!$B$3:$HI$110,90,FALSE)</f>
        <v>9.8718482308744839</v>
      </c>
      <c r="I141" s="146">
        <f>VLOOKUP($A16,'Template IF 2'!$B$3:$HI$110,91,FALSE)</f>
        <v>10.458340405240484</v>
      </c>
      <c r="J141" s="146">
        <f>VLOOKUP($A16,'Template IF 2'!$B$3:$HI$110,92,FALSE)</f>
        <v>9.5357916164948673</v>
      </c>
      <c r="K141" s="146">
        <f>VLOOKUP($A16,'Template IF 2'!$B$3:$HI$110,93,FALSE)</f>
        <v>9.2897934008380822</v>
      </c>
      <c r="L141" s="60"/>
      <c r="S141"/>
      <c r="T141"/>
      <c r="U141"/>
      <c r="V141"/>
      <c r="W141"/>
      <c r="X141"/>
      <c r="Y141"/>
      <c r="Z141"/>
      <c r="AA141"/>
    </row>
    <row r="142" spans="1:27" ht="14.1" customHeight="1" x14ac:dyDescent="0.2">
      <c r="A142" s="64" t="str">
        <f>A18</f>
        <v>Anoka County</v>
      </c>
      <c r="B142" s="124">
        <f>VLOOKUP($A18,'Template IF 2'!$B$3:$HI$110,86,FALSE)</f>
        <v>21351</v>
      </c>
      <c r="C142" s="124">
        <f>VLOOKUP($A18,'Template IF 2'!$B$3:$HI$110,87,FALSE)</f>
        <v>22145</v>
      </c>
      <c r="D142" s="124">
        <f>VLOOKUP($A18,'Template IF 2'!$B$3:$HI$110,88,FALSE)</f>
        <v>20961</v>
      </c>
      <c r="E142" s="124">
        <f>VLOOKUP($A18,'Template IF 2'!$B$3:$HI$110,89,FALSE)</f>
        <v>21190</v>
      </c>
      <c r="F142" s="60"/>
      <c r="G142" s="60"/>
      <c r="H142" s="146">
        <f>VLOOKUP($A18,'Template IF 2'!$B$3:$HI$110,90,FALSE)</f>
        <v>14.192576599764156</v>
      </c>
      <c r="I142" s="146">
        <f>VLOOKUP($A18,'Template IF 2'!$B$3:$HI$110,91,FALSE)</f>
        <v>17.071345040059267</v>
      </c>
      <c r="J142" s="146">
        <f>VLOOKUP($A18,'Template IF 2'!$B$3:$HI$110,92,FALSE)</f>
        <v>12.634186622625929</v>
      </c>
      <c r="K142" s="146">
        <f>VLOOKUP($A18,'Template IF 2'!$B$3:$HI$110,93,FALSE)</f>
        <v>12.299180615701973</v>
      </c>
      <c r="L142" s="60"/>
      <c r="S142"/>
      <c r="T142"/>
      <c r="U142"/>
      <c r="V142"/>
      <c r="W142"/>
      <c r="X142"/>
      <c r="Y142"/>
      <c r="Z142"/>
      <c r="AA142"/>
    </row>
    <row r="143" spans="1:27" ht="14.1" customHeight="1" x14ac:dyDescent="0.2">
      <c r="A143" s="64" t="str">
        <f>A20</f>
        <v>Becker County</v>
      </c>
      <c r="B143" s="124">
        <f>VLOOKUP($A20,'Template IF 2'!$B$3:$HI$110,86,FALSE)</f>
        <v>1831</v>
      </c>
      <c r="C143" s="124">
        <f>VLOOKUP($A20,'Template IF 2'!$B$3:$HI$110,87,FALSE)</f>
        <v>2122</v>
      </c>
      <c r="D143" s="124">
        <f>VLOOKUP($A20,'Template IF 2'!$B$3:$HI$110,88,FALSE)</f>
        <v>2190</v>
      </c>
      <c r="E143" s="124">
        <f>VLOOKUP($A20,'Template IF 2'!$B$3:$HI$110,89,FALSE)</f>
        <v>2082</v>
      </c>
      <c r="F143" s="60"/>
      <c r="G143" s="60"/>
      <c r="H143" s="146">
        <f>VLOOKUP($A20,'Template IF 2'!$B$3:$HI$110,90,FALSE)</f>
        <v>12.179708910943777</v>
      </c>
      <c r="I143" s="146">
        <f>VLOOKUP($A20,'Template IF 2'!$B$3:$HI$110,91,FALSE)</f>
        <v>16.593811337279774</v>
      </c>
      <c r="J143" s="146">
        <f>VLOOKUP($A20,'Template IF 2'!$B$3:$HI$110,92,FALSE)</f>
        <v>13.488710134394363</v>
      </c>
      <c r="K143" s="146">
        <f>VLOOKUP($A20,'Template IF 2'!$B$3:$HI$110,93,FALSE)</f>
        <v>12.414434612540845</v>
      </c>
      <c r="L143" s="60"/>
      <c r="S143"/>
      <c r="T143"/>
      <c r="U143"/>
      <c r="V143"/>
      <c r="W143"/>
      <c r="X143"/>
      <c r="Y143"/>
      <c r="Z143"/>
      <c r="AA143"/>
    </row>
    <row r="144" spans="1:27" ht="14.1" customHeight="1" x14ac:dyDescent="0.2">
      <c r="A144" s="64" t="str">
        <f>A22</f>
        <v>Beltrami County</v>
      </c>
      <c r="B144" s="124">
        <f>VLOOKUP($A22,'Template IF 2'!$B$3:$HI$110,86,FALSE)</f>
        <v>2901</v>
      </c>
      <c r="C144" s="124">
        <f>VLOOKUP($A22,'Template IF 2'!$B$3:$HI$110,87,FALSE)</f>
        <v>3378</v>
      </c>
      <c r="D144" s="124">
        <f>VLOOKUP($A22,'Template IF 2'!$B$3:$HI$110,88,FALSE)</f>
        <v>3636</v>
      </c>
      <c r="E144" s="124">
        <f>VLOOKUP($A22,'Template IF 2'!$B$3:$HI$110,89,FALSE)</f>
        <v>3369</v>
      </c>
      <c r="F144" s="60"/>
      <c r="G144" s="60"/>
      <c r="H144" s="146">
        <f>VLOOKUP($A22,'Template IF 2'!$B$3:$HI$110,90,FALSE)</f>
        <v>14.569469904326645</v>
      </c>
      <c r="I144" s="146">
        <f>VLOOKUP($A22,'Template IF 2'!$B$3:$HI$110,91,FALSE)</f>
        <v>19.649588161384894</v>
      </c>
      <c r="J144" s="146">
        <f>VLOOKUP($A22,'Template IF 2'!$B$3:$HI$110,92,FALSE)</f>
        <v>16.285506973744322</v>
      </c>
      <c r="K144" s="146">
        <f>VLOOKUP($A22,'Template IF 2'!$B$3:$HI$110,93,FALSE)</f>
        <v>14.671747414262384</v>
      </c>
      <c r="L144" s="60"/>
      <c r="S144"/>
      <c r="T144"/>
      <c r="U144"/>
      <c r="V144"/>
      <c r="W144"/>
      <c r="X144"/>
      <c r="Y144"/>
      <c r="Z144"/>
      <c r="AA144"/>
    </row>
    <row r="145" spans="1:27" ht="14.1" customHeight="1" x14ac:dyDescent="0.2">
      <c r="A145" s="64" t="str">
        <f>A24</f>
        <v>Benton County</v>
      </c>
      <c r="B145" s="124">
        <f>VLOOKUP($A24,'Template IF 2'!$B$3:$HI$110,86,FALSE)</f>
        <v>2695</v>
      </c>
      <c r="C145" s="124">
        <f>VLOOKUP($A24,'Template IF 2'!$B$3:$HI$110,87,FALSE)</f>
        <v>2990</v>
      </c>
      <c r="D145" s="124">
        <f>VLOOKUP($A24,'Template IF 2'!$B$3:$HI$110,88,FALSE)</f>
        <v>2907</v>
      </c>
      <c r="E145" s="124">
        <f>VLOOKUP($A24,'Template IF 2'!$B$3:$HI$110,89,FALSE)</f>
        <v>2824</v>
      </c>
      <c r="F145" s="60"/>
      <c r="G145" s="60"/>
      <c r="H145" s="146">
        <f>VLOOKUP($A24,'Template IF 2'!$B$3:$HI$110,90,FALSE)</f>
        <v>15.409157442137042</v>
      </c>
      <c r="I145" s="146">
        <f>VLOOKUP($A24,'Template IF 2'!$B$3:$HI$110,91,FALSE)</f>
        <v>19.315744592883537</v>
      </c>
      <c r="J145" s="146">
        <f>VLOOKUP($A24,'Template IF 2'!$B$3:$HI$110,92,FALSE)</f>
        <v>14.827244998928888</v>
      </c>
      <c r="K145" s="146">
        <f>VLOOKUP($A24,'Template IF 2'!$B$3:$HI$110,93,FALSE)</f>
        <v>14.236813051084145</v>
      </c>
      <c r="L145" s="60"/>
      <c r="S145"/>
      <c r="T145"/>
      <c r="U145"/>
      <c r="V145"/>
      <c r="W145"/>
      <c r="X145"/>
      <c r="Y145"/>
      <c r="Z145"/>
      <c r="AA145"/>
    </row>
    <row r="146" spans="1:27" ht="14.1" customHeight="1" x14ac:dyDescent="0.2">
      <c r="A146" s="53" t="str">
        <f>A26</f>
        <v>Big Stone County</v>
      </c>
      <c r="B146" s="125">
        <f>VLOOKUP($A26,'Template IF 2'!$B$3:$HI$110,86,FALSE)</f>
        <v>276</v>
      </c>
      <c r="C146" s="125">
        <f>VLOOKUP($A26,'Template IF 2'!$B$3:$HI$110,87,FALSE)</f>
        <v>277</v>
      </c>
      <c r="D146" s="125">
        <f>VLOOKUP($A26,'Template IF 2'!$B$3:$HI$110,88,FALSE)</f>
        <v>305</v>
      </c>
      <c r="E146" s="125">
        <f>VLOOKUP($A26,'Template IF 2'!$B$3:$HI$110,89,FALSE)</f>
        <v>276</v>
      </c>
      <c r="F146" s="60"/>
      <c r="G146" s="60"/>
      <c r="H146" s="147">
        <f>VLOOKUP($A26,'Template IF 2'!$B$3:$HI$110,90,FALSE)</f>
        <v>9.7029354895412201</v>
      </c>
      <c r="I146" s="147">
        <f>VLOOKUP($A26,'Template IF 2'!$B$3:$HI$110,91,FALSE)</f>
        <v>12.603512603512604</v>
      </c>
      <c r="J146" s="147">
        <f>VLOOKUP($A26,'Template IF 2'!$B$3:$HI$110,92,FALSE)</f>
        <v>11.602693346521093</v>
      </c>
      <c r="K146" s="147">
        <f>VLOOKUP($A26,'Template IF 2'!$B$3:$HI$110,93,FALSE)</f>
        <v>10.881135422826731</v>
      </c>
      <c r="L146" s="60"/>
      <c r="S146"/>
      <c r="T146"/>
      <c r="U146"/>
      <c r="V146"/>
      <c r="W146"/>
      <c r="X146"/>
      <c r="Y146"/>
      <c r="Z146"/>
      <c r="AA146"/>
    </row>
    <row r="147" spans="1:27" x14ac:dyDescent="0.2">
      <c r="A147" s="52"/>
      <c r="B147" s="57"/>
      <c r="C147" s="57"/>
      <c r="D147" s="57"/>
      <c r="E147" s="57"/>
      <c r="F147" s="57"/>
      <c r="G147" s="54"/>
      <c r="H147" s="54"/>
      <c r="I147" s="54"/>
      <c r="J147" s="54"/>
      <c r="K147" s="54"/>
      <c r="L147" s="54"/>
      <c r="S147"/>
      <c r="T147"/>
      <c r="U147"/>
      <c r="V147"/>
      <c r="W147"/>
      <c r="X147"/>
      <c r="Y147"/>
      <c r="Z147"/>
      <c r="AA147"/>
    </row>
    <row r="148" spans="1:27" ht="12.75" customHeight="1" x14ac:dyDescent="0.2">
      <c r="A148" s="64"/>
      <c r="B148" s="259" t="s">
        <v>151</v>
      </c>
      <c r="C148" s="259"/>
      <c r="D148" s="259"/>
      <c r="E148" s="259"/>
      <c r="F148" s="85"/>
      <c r="G148" s="54"/>
      <c r="H148" s="259" t="s">
        <v>164</v>
      </c>
      <c r="I148" s="259"/>
      <c r="J148" s="259"/>
      <c r="K148" s="259"/>
      <c r="L148" s="85"/>
      <c r="N148"/>
      <c r="O148"/>
      <c r="S148"/>
      <c r="T148"/>
      <c r="U148"/>
      <c r="V148"/>
      <c r="W148"/>
      <c r="X148"/>
      <c r="Y148"/>
      <c r="Z148"/>
      <c r="AA148"/>
    </row>
    <row r="149" spans="1:27" x14ac:dyDescent="0.2">
      <c r="A149" s="64"/>
      <c r="B149" s="269"/>
      <c r="C149" s="269"/>
      <c r="D149" s="269"/>
      <c r="E149" s="269"/>
      <c r="F149" s="85"/>
      <c r="G149" s="54"/>
      <c r="H149" s="269"/>
      <c r="I149" s="269"/>
      <c r="J149" s="269"/>
      <c r="K149" s="269"/>
      <c r="L149" s="85"/>
      <c r="N149"/>
      <c r="O149"/>
      <c r="S149"/>
      <c r="T149"/>
      <c r="U149"/>
      <c r="V149"/>
      <c r="W149"/>
      <c r="X149"/>
      <c r="Y149"/>
      <c r="Z149"/>
      <c r="AA149"/>
    </row>
    <row r="150" spans="1:27" x14ac:dyDescent="0.2">
      <c r="A150" s="53"/>
      <c r="B150" s="84" t="s">
        <v>498</v>
      </c>
      <c r="C150" s="84" t="s">
        <v>499</v>
      </c>
      <c r="D150" s="84" t="s">
        <v>500</v>
      </c>
      <c r="E150" s="84" t="s">
        <v>501</v>
      </c>
      <c r="F150" s="71"/>
      <c r="G150" s="55"/>
      <c r="H150" s="84" t="s">
        <v>498</v>
      </c>
      <c r="I150" s="84" t="s">
        <v>499</v>
      </c>
      <c r="J150" s="84" t="s">
        <v>500</v>
      </c>
      <c r="K150" s="84" t="s">
        <v>501</v>
      </c>
      <c r="L150" s="86"/>
      <c r="N150"/>
      <c r="O150"/>
      <c r="S150"/>
      <c r="T150"/>
      <c r="U150"/>
      <c r="V150"/>
      <c r="W150"/>
      <c r="X150"/>
      <c r="Y150"/>
      <c r="Z150"/>
      <c r="AA150"/>
    </row>
    <row r="151" spans="1:27" ht="14.1" customHeight="1" x14ac:dyDescent="0.2">
      <c r="A151" s="64" t="s">
        <v>22</v>
      </c>
      <c r="B151" s="124">
        <f>'Template IF 2'!CQ3</f>
        <v>14570</v>
      </c>
      <c r="C151" s="124">
        <f>'Template IF 2'!CR3</f>
        <v>16822</v>
      </c>
      <c r="D151" s="124">
        <f>'Template IF 2'!CS3</f>
        <v>16148</v>
      </c>
      <c r="E151" s="124">
        <f>'Template IF 2'!CT3</f>
        <v>16474</v>
      </c>
      <c r="F151" s="60"/>
      <c r="G151" s="69"/>
      <c r="H151" s="65">
        <f>'Template IF 2'!CU3</f>
        <v>4.5256331413876003</v>
      </c>
      <c r="I151" s="65">
        <f>'Template IF 2'!CV3</f>
        <v>4.8565357231535007</v>
      </c>
      <c r="J151" s="65">
        <f>'Template IF 2'!CW3</f>
        <v>4.8046225300735212</v>
      </c>
      <c r="K151" s="65">
        <f>'Template IF 2'!CX3</f>
        <v>4.9106198040402171</v>
      </c>
      <c r="L151" s="60"/>
      <c r="O151"/>
      <c r="S151"/>
      <c r="T151"/>
      <c r="U151"/>
      <c r="V151"/>
      <c r="W151"/>
      <c r="X151"/>
      <c r="Y151"/>
      <c r="Z151"/>
      <c r="AA151"/>
    </row>
    <row r="152" spans="1:27" ht="14.1" customHeight="1" x14ac:dyDescent="0.2">
      <c r="A152" s="64" t="str">
        <f>A16</f>
        <v>Aitkin, Itasca, Koochiching</v>
      </c>
      <c r="B152" s="124">
        <f>VLOOKUP($A16,'Template IF 2'!$B$3:$HI$110,94,FALSE)</f>
        <v>149</v>
      </c>
      <c r="C152" s="124">
        <f>VLOOKUP($A16,'Template IF 2'!$B$3:$HI$110,95,FALSE)</f>
        <v>171</v>
      </c>
      <c r="D152" s="124">
        <f>VLOOKUP($A16,'Template IF 2'!$B$3:$HI$110,96,FALSE)</f>
        <v>167</v>
      </c>
      <c r="E152" s="124">
        <f>VLOOKUP($A16,'Template IF 2'!$B$3:$HI$110,97,FALSE)</f>
        <v>177</v>
      </c>
      <c r="F152" s="60"/>
      <c r="G152" s="54"/>
      <c r="H152" s="62">
        <f>VLOOKUP($A16,'Template IF 2'!$B$3:$HI$110,98,FALSE)</f>
        <v>4.2</v>
      </c>
      <c r="I152" s="62">
        <f>VLOOKUP($A16,'Template IF 2'!$B$3:$HI$110,99,FALSE)</f>
        <v>4.5</v>
      </c>
      <c r="J152" s="62">
        <f>VLOOKUP($A16,'Template IF 2'!$B$3:$HI$110,100,FALSE)</f>
        <v>4.9000000000000004</v>
      </c>
      <c r="K152" s="62">
        <f>VLOOKUP($A16,'Template IF 2'!$B$3:$HI$110,101,FALSE)</f>
        <v>5.3</v>
      </c>
      <c r="L152" s="60"/>
      <c r="M152" s="24"/>
      <c r="O152"/>
      <c r="S152"/>
      <c r="T152"/>
      <c r="U152"/>
      <c r="V152"/>
      <c r="W152"/>
      <c r="X152"/>
      <c r="Y152"/>
      <c r="Z152"/>
      <c r="AA152"/>
    </row>
    <row r="153" spans="1:27" ht="14.1" customHeight="1" x14ac:dyDescent="0.2">
      <c r="A153" s="64" t="str">
        <f>A18</f>
        <v>Anoka County</v>
      </c>
      <c r="B153" s="124">
        <f>VLOOKUP($A18,'Template IF 2'!$B$3:$HI$110,94,FALSE)</f>
        <v>883</v>
      </c>
      <c r="C153" s="124">
        <f>VLOOKUP($A18,'Template IF 2'!$B$3:$HI$110,95,FALSE)</f>
        <v>1041</v>
      </c>
      <c r="D153" s="124">
        <f>VLOOKUP($A18,'Template IF 2'!$B$3:$HI$110,96,FALSE)</f>
        <v>932</v>
      </c>
      <c r="E153" s="124">
        <f>VLOOKUP($A18,'Template IF 2'!$B$3:$HI$110,97,FALSE)</f>
        <v>945</v>
      </c>
      <c r="F153" s="60"/>
      <c r="G153" s="54"/>
      <c r="H153" s="62">
        <f>VLOOKUP($A18,'Template IF 2'!$B$3:$HI$110,98,FALSE)</f>
        <v>4.3</v>
      </c>
      <c r="I153" s="62">
        <f>VLOOKUP($A18,'Template IF 2'!$B$3:$HI$110,99,FALSE)</f>
        <v>4.9000000000000004</v>
      </c>
      <c r="J153" s="62">
        <f>VLOOKUP($A18,'Template IF 2'!$B$3:$HI$110,100,FALSE)</f>
        <v>4.5999999999999996</v>
      </c>
      <c r="K153" s="62">
        <f>VLOOKUP($A18,'Template IF 2'!$B$3:$HI$110,101,FALSE)</f>
        <v>4.5999999999999996</v>
      </c>
      <c r="L153" s="60"/>
      <c r="M153" s="24"/>
      <c r="O153"/>
      <c r="S153"/>
      <c r="T153"/>
      <c r="U153"/>
      <c r="V153"/>
      <c r="W153"/>
      <c r="X153"/>
      <c r="Y153"/>
      <c r="Z153"/>
      <c r="AA153"/>
    </row>
    <row r="154" spans="1:27" ht="14.1" customHeight="1" x14ac:dyDescent="0.2">
      <c r="A154" s="64" t="str">
        <f>A20</f>
        <v>Becker County</v>
      </c>
      <c r="B154" s="124">
        <f>VLOOKUP($A20,'Template IF 2'!$B$3:$HI$110,94,FALSE)</f>
        <v>72</v>
      </c>
      <c r="C154" s="124">
        <f>VLOOKUP($A20,'Template IF 2'!$B$3:$HI$110,95,FALSE)</f>
        <v>79</v>
      </c>
      <c r="D154" s="124">
        <f>VLOOKUP($A20,'Template IF 2'!$B$3:$HI$110,96,FALSE)</f>
        <v>77</v>
      </c>
      <c r="E154" s="124">
        <f>VLOOKUP($A20,'Template IF 2'!$B$3:$HI$110,97,FALSE)</f>
        <v>106</v>
      </c>
      <c r="F154" s="60"/>
      <c r="G154" s="54"/>
      <c r="H154" s="62">
        <f>VLOOKUP($A20,'Template IF 2'!$B$3:$HI$110,98,FALSE)</f>
        <v>4.0999999999999996</v>
      </c>
      <c r="I154" s="62">
        <f>VLOOKUP($A20,'Template IF 2'!$B$3:$HI$110,99,FALSE)</f>
        <v>3.8</v>
      </c>
      <c r="J154" s="62">
        <f>VLOOKUP($A20,'Template IF 2'!$B$3:$HI$110,100,FALSE)</f>
        <v>3.6</v>
      </c>
      <c r="K154" s="62">
        <f>VLOOKUP($A20,'Template IF 2'!$B$3:$HI$110,101,FALSE)</f>
        <v>5.2</v>
      </c>
      <c r="L154" s="60"/>
      <c r="O154"/>
      <c r="S154"/>
      <c r="T154"/>
      <c r="U154"/>
      <c r="V154"/>
      <c r="W154"/>
      <c r="X154"/>
      <c r="Y154"/>
      <c r="Z154"/>
      <c r="AA154"/>
    </row>
    <row r="155" spans="1:27" ht="14.1" customHeight="1" x14ac:dyDescent="0.2">
      <c r="A155" s="64" t="str">
        <f>A22</f>
        <v>Beltrami County</v>
      </c>
      <c r="B155" s="124">
        <f>VLOOKUP($A22,'Template IF 2'!$B$3:$HI$110,94,FALSE)</f>
        <v>129</v>
      </c>
      <c r="C155" s="124">
        <f>VLOOKUP($A22,'Template IF 2'!$B$3:$HI$110,95,FALSE)</f>
        <v>153</v>
      </c>
      <c r="D155" s="124">
        <f>VLOOKUP($A22,'Template IF 2'!$B$3:$HI$110,96,FALSE)</f>
        <v>178</v>
      </c>
      <c r="E155" s="124">
        <f>VLOOKUP($A22,'Template IF 2'!$B$3:$HI$110,97,FALSE)</f>
        <v>153</v>
      </c>
      <c r="F155" s="60"/>
      <c r="G155" s="54"/>
      <c r="H155" s="62">
        <f>VLOOKUP($A22,'Template IF 2'!$B$3:$HI$110,98,FALSE)</f>
        <v>4.5</v>
      </c>
      <c r="I155" s="62">
        <f>VLOOKUP($A22,'Template IF 2'!$B$3:$HI$110,99,FALSE)</f>
        <v>4.7</v>
      </c>
      <c r="J155" s="62">
        <f>VLOOKUP($A22,'Template IF 2'!$B$3:$HI$110,100,FALSE)</f>
        <v>5</v>
      </c>
      <c r="K155" s="62">
        <f>VLOOKUP($A22,'Template IF 2'!$B$3:$HI$110,101,FALSE)</f>
        <v>4.7</v>
      </c>
      <c r="L155" s="60"/>
      <c r="O155"/>
      <c r="S155"/>
      <c r="T155"/>
      <c r="U155"/>
      <c r="V155"/>
      <c r="W155"/>
      <c r="X155"/>
      <c r="Y155"/>
      <c r="Z155"/>
      <c r="AA155"/>
    </row>
    <row r="156" spans="1:27" ht="14.1" customHeight="1" x14ac:dyDescent="0.2">
      <c r="A156" s="64" t="str">
        <f>A24</f>
        <v>Benton County</v>
      </c>
      <c r="B156" s="124">
        <f>VLOOKUP($A24,'Template IF 2'!$B$3:$HI$110,94,FALSE)</f>
        <v>128</v>
      </c>
      <c r="C156" s="124">
        <f>VLOOKUP($A24,'Template IF 2'!$B$3:$HI$110,95,FALSE)</f>
        <v>159</v>
      </c>
      <c r="D156" s="124">
        <f>VLOOKUP($A24,'Template IF 2'!$B$3:$HI$110,96,FALSE)</f>
        <v>139</v>
      </c>
      <c r="E156" s="124">
        <f>VLOOKUP($A24,'Template IF 2'!$B$3:$HI$110,97,FALSE)</f>
        <v>130</v>
      </c>
      <c r="F156" s="60"/>
      <c r="G156" s="54"/>
      <c r="H156" s="62">
        <f>VLOOKUP($A24,'Template IF 2'!$B$3:$HI$110,98,FALSE)</f>
        <v>4.9000000000000004</v>
      </c>
      <c r="I156" s="62">
        <f>VLOOKUP($A24,'Template IF 2'!$B$3:$HI$110,99,FALSE)</f>
        <v>5.5</v>
      </c>
      <c r="J156" s="62">
        <f>VLOOKUP($A24,'Template IF 2'!$B$3:$HI$110,100,FALSE)</f>
        <v>4.9000000000000004</v>
      </c>
      <c r="K156" s="62">
        <f>VLOOKUP($A24,'Template IF 2'!$B$3:$HI$110,101,FALSE)</f>
        <v>4.8</v>
      </c>
      <c r="L156" s="60"/>
      <c r="O156"/>
      <c r="S156"/>
      <c r="T156"/>
      <c r="U156"/>
      <c r="V156"/>
      <c r="W156"/>
      <c r="X156"/>
      <c r="Y156"/>
      <c r="Z156"/>
      <c r="AA156"/>
    </row>
    <row r="157" spans="1:27" ht="14.1" customHeight="1" x14ac:dyDescent="0.2">
      <c r="A157" s="53" t="str">
        <f>A26</f>
        <v>Big Stone County</v>
      </c>
      <c r="B157" s="125">
        <f>VLOOKUP($A26,'Template IF 2'!$B$3:$HI$110,94,FALSE)</f>
        <v>11</v>
      </c>
      <c r="C157" s="125">
        <f>VLOOKUP($A26,'Template IF 2'!$B$3:$HI$110,95,FALSE)</f>
        <v>4</v>
      </c>
      <c r="D157" s="125">
        <f>VLOOKUP($A26,'Template IF 2'!$B$3:$HI$110,96,FALSE)</f>
        <v>9</v>
      </c>
      <c r="E157" s="125">
        <f>VLOOKUP($A26,'Template IF 2'!$B$3:$HI$110,97,FALSE)</f>
        <v>11</v>
      </c>
      <c r="F157" s="71"/>
      <c r="G157" s="55"/>
      <c r="H157" s="63">
        <f>VLOOKUP($A26,'Template IF 2'!$B$3:$HI$110,98,FALSE)</f>
        <v>4</v>
      </c>
      <c r="I157" s="63">
        <f>VLOOKUP($A26,'Template IF 2'!$B$3:$HI$110,99,FALSE)</f>
        <v>1.5</v>
      </c>
      <c r="J157" s="63">
        <f>VLOOKUP($A26,'Template IF 2'!$B$3:$HI$110,100,FALSE)</f>
        <v>3.1</v>
      </c>
      <c r="K157" s="63">
        <f>VLOOKUP($A26,'Template IF 2'!$B$3:$HI$110,101,FALSE)</f>
        <v>4.0999999999999996</v>
      </c>
      <c r="L157" s="60"/>
      <c r="O157"/>
      <c r="S157"/>
      <c r="T157"/>
      <c r="U157"/>
      <c r="V157"/>
      <c r="W157"/>
      <c r="X157"/>
      <c r="Y157"/>
      <c r="Z157"/>
      <c r="AA157"/>
    </row>
    <row r="158" spans="1:27" x14ac:dyDescent="0.2">
      <c r="A158" s="52" t="s">
        <v>162</v>
      </c>
      <c r="B158" s="66"/>
      <c r="C158" s="66"/>
      <c r="D158" s="66"/>
      <c r="E158" s="66"/>
      <c r="F158" s="66"/>
      <c r="G158" s="54"/>
      <c r="H158" s="54"/>
      <c r="I158" s="54"/>
      <c r="J158" s="54"/>
      <c r="K158" s="54"/>
      <c r="L158" s="54"/>
      <c r="N158"/>
      <c r="O158"/>
      <c r="S158"/>
      <c r="T158"/>
      <c r="U158"/>
      <c r="V158"/>
      <c r="W158"/>
      <c r="X158"/>
      <c r="Y158"/>
      <c r="Z158"/>
      <c r="AA158"/>
    </row>
    <row r="159" spans="1:27" ht="21.75" customHeight="1" x14ac:dyDescent="0.2">
      <c r="A159" s="52"/>
      <c r="B159" s="259" t="s">
        <v>152</v>
      </c>
      <c r="C159" s="259"/>
      <c r="D159" s="259"/>
      <c r="E159" s="259"/>
      <c r="F159" s="85"/>
      <c r="G159" s="54"/>
      <c r="H159" s="259" t="s">
        <v>163</v>
      </c>
      <c r="I159" s="259"/>
      <c r="J159" s="259"/>
      <c r="K159" s="259"/>
      <c r="L159" s="85"/>
      <c r="N159"/>
      <c r="O159"/>
      <c r="S159"/>
      <c r="T159"/>
      <c r="U159"/>
      <c r="V159"/>
      <c r="W159"/>
      <c r="X159"/>
      <c r="Y159"/>
      <c r="Z159"/>
      <c r="AA159"/>
    </row>
    <row r="160" spans="1:27" x14ac:dyDescent="0.2">
      <c r="A160" s="64"/>
      <c r="B160" s="269"/>
      <c r="C160" s="269"/>
      <c r="D160" s="269"/>
      <c r="E160" s="269"/>
      <c r="F160" s="85"/>
      <c r="G160" s="54"/>
      <c r="H160" s="269"/>
      <c r="I160" s="269"/>
      <c r="J160" s="269"/>
      <c r="K160" s="269"/>
      <c r="L160" s="85"/>
      <c r="N160"/>
      <c r="O160"/>
    </row>
    <row r="161" spans="1:24" x14ac:dyDescent="0.2">
      <c r="A161" s="53"/>
      <c r="B161" s="84" t="s">
        <v>498</v>
      </c>
      <c r="C161" s="84" t="s">
        <v>499</v>
      </c>
      <c r="D161" s="84" t="s">
        <v>500</v>
      </c>
      <c r="E161" s="84" t="s">
        <v>501</v>
      </c>
      <c r="F161" s="55"/>
      <c r="G161" s="55"/>
      <c r="H161" s="84" t="s">
        <v>498</v>
      </c>
      <c r="I161" s="84" t="s">
        <v>499</v>
      </c>
      <c r="J161" s="84" t="s">
        <v>500</v>
      </c>
      <c r="K161" s="84" t="s">
        <v>501</v>
      </c>
      <c r="L161" s="27"/>
      <c r="N161"/>
      <c r="O161"/>
    </row>
    <row r="162" spans="1:24" ht="14.1" customHeight="1" x14ac:dyDescent="0.2">
      <c r="A162" s="64" t="s">
        <v>22</v>
      </c>
      <c r="B162" s="124">
        <f>'Template IF 2'!CY3</f>
        <v>21694</v>
      </c>
      <c r="C162" s="124">
        <f>'Template IF 2'!CZ3</f>
        <v>25744</v>
      </c>
      <c r="D162" s="124">
        <f>'Template IF 2'!DA3</f>
        <v>23429</v>
      </c>
      <c r="E162" s="124">
        <f>'Template IF 2'!DB3</f>
        <v>22854</v>
      </c>
      <c r="F162" s="60"/>
      <c r="G162" s="54"/>
      <c r="H162" s="65">
        <f>'Template IF 2'!DC3</f>
        <v>7.571441178894041</v>
      </c>
      <c r="I162" s="65">
        <f>'Template IF 2'!DD3</f>
        <v>8.3964598333432914</v>
      </c>
      <c r="J162" s="65">
        <f>'Template IF 2'!DE3</f>
        <v>7.453242759128428</v>
      </c>
      <c r="K162" s="65">
        <f>'Template IF 2'!DF3</f>
        <v>6.8323579863474908</v>
      </c>
      <c r="L162" s="60"/>
      <c r="N162"/>
      <c r="O162"/>
    </row>
    <row r="163" spans="1:24" ht="14.1" customHeight="1" x14ac:dyDescent="0.2">
      <c r="A163" s="64" t="str">
        <f>A16</f>
        <v>Aitkin, Itasca, Koochiching</v>
      </c>
      <c r="B163" s="124">
        <f>VLOOKUP($A16,'Template IF 2'!$B$3:$HI$110,102,FALSE)</f>
        <v>197</v>
      </c>
      <c r="C163" s="124">
        <f>VLOOKUP($A16,'Template IF 2'!$B$3:$HI$110,103,FALSE)</f>
        <v>275</v>
      </c>
      <c r="D163" s="124">
        <f>VLOOKUP($A16,'Template IF 2'!$B$3:$HI$110,104,FALSE)</f>
        <v>219</v>
      </c>
      <c r="E163" s="124">
        <f>VLOOKUP($A16,'Template IF 2'!$B$3:$HI$110,105,FALSE)</f>
        <v>251</v>
      </c>
      <c r="F163" s="60"/>
      <c r="G163" s="54"/>
      <c r="H163" s="62">
        <f>VLOOKUP($A16,'Template IF 2'!$B$3:$HI$110,106,FALSE)</f>
        <v>6.4</v>
      </c>
      <c r="I163" s="62">
        <f>VLOOKUP($A16,'Template IF 2'!$B$3:$HI$110,107,FALSE)</f>
        <v>8.6999999999999993</v>
      </c>
      <c r="J163" s="62">
        <f>VLOOKUP($A16,'Template IF 2'!$B$3:$HI$110,108,FALSE)</f>
        <v>7.2</v>
      </c>
      <c r="K163" s="62">
        <f>VLOOKUP($A16,'Template IF 2'!$B$3:$HI$110,109,FALSE)</f>
        <v>7.5</v>
      </c>
      <c r="L163" s="60"/>
      <c r="N163"/>
      <c r="O163"/>
    </row>
    <row r="164" spans="1:24" ht="14.1" customHeight="1" x14ac:dyDescent="0.2">
      <c r="A164" s="64" t="str">
        <f>A18</f>
        <v>Anoka County</v>
      </c>
      <c r="B164" s="124">
        <f>VLOOKUP($A18,'Template IF 2'!$B$3:$HI$110,102,FALSE)</f>
        <v>1361</v>
      </c>
      <c r="C164" s="124">
        <f>VLOOKUP($A18,'Template IF 2'!$B$3:$HI$110,103,FALSE)</f>
        <v>1606</v>
      </c>
      <c r="D164" s="124">
        <f>VLOOKUP($A18,'Template IF 2'!$B$3:$HI$110,104,FALSE)</f>
        <v>1389</v>
      </c>
      <c r="E164" s="124">
        <f>VLOOKUP($A18,'Template IF 2'!$B$3:$HI$110,105,FALSE)</f>
        <v>1320</v>
      </c>
      <c r="F164" s="60"/>
      <c r="G164" s="54"/>
      <c r="H164" s="62">
        <f>VLOOKUP($A18,'Template IF 2'!$B$3:$HI$110,106,FALSE)</f>
        <v>7.4</v>
      </c>
      <c r="I164" s="62">
        <f>VLOOKUP($A18,'Template IF 2'!$B$3:$HI$110,107,FALSE)</f>
        <v>8.4</v>
      </c>
      <c r="J164" s="62">
        <f>VLOOKUP($A18,'Template IF 2'!$B$3:$HI$110,108,FALSE)</f>
        <v>7.3</v>
      </c>
      <c r="K164" s="62">
        <f>VLOOKUP($A18,'Template IF 2'!$B$3:$HI$110,109,FALSE)</f>
        <v>6.5</v>
      </c>
      <c r="L164" s="60"/>
      <c r="N164"/>
      <c r="O164"/>
    </row>
    <row r="165" spans="1:24" ht="14.1" customHeight="1" x14ac:dyDescent="0.2">
      <c r="A165" s="64" t="str">
        <f>A20</f>
        <v>Becker County</v>
      </c>
      <c r="B165" s="124">
        <f>VLOOKUP($A20,'Template IF 2'!$B$3:$HI$110,102,FALSE)</f>
        <v>116</v>
      </c>
      <c r="C165" s="124">
        <f>VLOOKUP($A20,'Template IF 2'!$B$3:$HI$110,103,FALSE)</f>
        <v>116</v>
      </c>
      <c r="D165" s="124">
        <f>VLOOKUP($A20,'Template IF 2'!$B$3:$HI$110,104,FALSE)</f>
        <v>133</v>
      </c>
      <c r="E165" s="124">
        <f>VLOOKUP($A20,'Template IF 2'!$B$3:$HI$110,105,FALSE)</f>
        <v>141</v>
      </c>
      <c r="F165" s="60"/>
      <c r="G165" s="54"/>
      <c r="H165" s="62">
        <f>VLOOKUP($A20,'Template IF 2'!$B$3:$HI$110,106,FALSE)</f>
        <v>7.4</v>
      </c>
      <c r="I165" s="62">
        <f>VLOOKUP($A20,'Template IF 2'!$B$3:$HI$110,107,FALSE)</f>
        <v>6.3</v>
      </c>
      <c r="J165" s="62">
        <f>VLOOKUP($A20,'Template IF 2'!$B$3:$HI$110,108,FALSE)</f>
        <v>6.7</v>
      </c>
      <c r="K165" s="62">
        <f>VLOOKUP($A20,'Template IF 2'!$B$3:$HI$110,109,FALSE)</f>
        <v>7</v>
      </c>
      <c r="L165" s="60"/>
      <c r="N165"/>
      <c r="O165"/>
    </row>
    <row r="166" spans="1:24" ht="14.1" customHeight="1" x14ac:dyDescent="0.2">
      <c r="A166" s="64" t="str">
        <f>A22</f>
        <v>Beltrami County</v>
      </c>
      <c r="B166" s="124">
        <f>VLOOKUP($A22,'Template IF 2'!$B$3:$HI$110,102,FALSE)</f>
        <v>202</v>
      </c>
      <c r="C166" s="124">
        <f>VLOOKUP($A22,'Template IF 2'!$B$3:$HI$110,103,FALSE)</f>
        <v>241</v>
      </c>
      <c r="D166" s="124">
        <f>VLOOKUP($A22,'Template IF 2'!$B$3:$HI$110,104,FALSE)</f>
        <v>302</v>
      </c>
      <c r="E166" s="124">
        <f>VLOOKUP($A22,'Template IF 2'!$B$3:$HI$110,105,FALSE)</f>
        <v>279</v>
      </c>
      <c r="F166" s="60"/>
      <c r="G166" s="54"/>
      <c r="H166" s="62">
        <f>VLOOKUP($A22,'Template IF 2'!$B$3:$HI$110,106,FALSE)</f>
        <v>9</v>
      </c>
      <c r="I166" s="62">
        <f>VLOOKUP($A22,'Template IF 2'!$B$3:$HI$110,107,FALSE)</f>
        <v>8.8000000000000007</v>
      </c>
      <c r="J166" s="62">
        <f>VLOOKUP($A22,'Template IF 2'!$B$3:$HI$110,108,FALSE)</f>
        <v>9.4</v>
      </c>
      <c r="K166" s="62">
        <f>VLOOKUP($A22,'Template IF 2'!$B$3:$HI$110,109,FALSE)</f>
        <v>8.5</v>
      </c>
      <c r="L166" s="60"/>
      <c r="N166"/>
      <c r="O166"/>
    </row>
    <row r="167" spans="1:24" ht="14.1" customHeight="1" x14ac:dyDescent="0.2">
      <c r="A167" s="64" t="str">
        <f>A24</f>
        <v>Benton County</v>
      </c>
      <c r="B167" s="124">
        <f>VLOOKUP($A24,'Template IF 2'!$B$3:$HI$110,102,FALSE)</f>
        <v>202</v>
      </c>
      <c r="C167" s="124">
        <f>VLOOKUP($A24,'Template IF 2'!$B$3:$HI$110,103,FALSE)</f>
        <v>286</v>
      </c>
      <c r="D167" s="124">
        <f>VLOOKUP($A24,'Template IF 2'!$B$3:$HI$110,104,FALSE)</f>
        <v>289</v>
      </c>
      <c r="E167" s="124">
        <f>VLOOKUP($A24,'Template IF 2'!$B$3:$HI$110,105,FALSE)</f>
        <v>226</v>
      </c>
      <c r="F167" s="60"/>
      <c r="G167" s="54"/>
      <c r="H167" s="62">
        <f>VLOOKUP($A24,'Template IF 2'!$B$3:$HI$110,106,FALSE)</f>
        <v>7.8</v>
      </c>
      <c r="I167" s="62">
        <f>VLOOKUP($A24,'Template IF 2'!$B$3:$HI$110,107,FALSE)</f>
        <v>10</v>
      </c>
      <c r="J167" s="62">
        <f>VLOOKUP($A24,'Template IF 2'!$B$3:$HI$110,108,FALSE)</f>
        <v>10.3</v>
      </c>
      <c r="K167" s="62">
        <f>VLOOKUP($A24,'Template IF 2'!$B$3:$HI$110,109,FALSE)</f>
        <v>8.3000000000000007</v>
      </c>
      <c r="L167" s="60"/>
      <c r="N167"/>
      <c r="O167"/>
    </row>
    <row r="168" spans="1:24" ht="14.1" customHeight="1" x14ac:dyDescent="0.2">
      <c r="A168" s="53" t="str">
        <f>A26</f>
        <v>Big Stone County</v>
      </c>
      <c r="B168" s="125">
        <f>VLOOKUP($A26,'Template IF 2'!$B$3:$HI$110,102,FALSE)</f>
        <v>22</v>
      </c>
      <c r="C168" s="125">
        <f>VLOOKUP($A26,'Template IF 2'!$B$3:$HI$110,103,FALSE)</f>
        <v>19</v>
      </c>
      <c r="D168" s="125">
        <f>VLOOKUP($A26,'Template IF 2'!$B$3:$HI$110,104,FALSE)</f>
        <v>24</v>
      </c>
      <c r="E168" s="125">
        <f>VLOOKUP($A26,'Template IF 2'!$B$3:$HI$110,105,FALSE)</f>
        <v>19</v>
      </c>
      <c r="F168" s="71"/>
      <c r="G168" s="55"/>
      <c r="H168" s="63">
        <f>VLOOKUP($A26,'Template IF 2'!$B$3:$HI$110,106,FALSE)</f>
        <v>8.3000000000000007</v>
      </c>
      <c r="I168" s="63">
        <f>VLOOKUP($A26,'Template IF 2'!$B$3:$HI$110,107,FALSE)</f>
        <v>7.1</v>
      </c>
      <c r="J168" s="63">
        <f>VLOOKUP($A26,'Template IF 2'!$B$3:$HI$110,108,FALSE)</f>
        <v>8.3000000000000007</v>
      </c>
      <c r="K168" s="63">
        <f>VLOOKUP($A26,'Template IF 2'!$B$3:$HI$110,109,FALSE)</f>
        <v>7</v>
      </c>
      <c r="L168" s="60"/>
      <c r="N168"/>
      <c r="O168"/>
    </row>
    <row r="169" spans="1:24" x14ac:dyDescent="0.2">
      <c r="A169" s="52" t="s">
        <v>162</v>
      </c>
      <c r="B169" s="54"/>
      <c r="C169" s="54"/>
      <c r="D169" s="54"/>
      <c r="E169" s="54"/>
      <c r="F169" s="54"/>
      <c r="G169" s="54"/>
      <c r="H169" s="54"/>
      <c r="I169" s="54"/>
      <c r="J169" s="54"/>
      <c r="K169" s="54"/>
      <c r="L169" s="54"/>
      <c r="N169"/>
      <c r="O169"/>
    </row>
    <row r="170" spans="1:24" ht="14.25" x14ac:dyDescent="0.2">
      <c r="A170" s="267" t="s">
        <v>454</v>
      </c>
      <c r="B170" s="267"/>
      <c r="C170" s="267"/>
      <c r="D170" s="267"/>
      <c r="E170" s="267"/>
      <c r="F170" s="267"/>
      <c r="G170" s="267"/>
      <c r="H170" s="267"/>
      <c r="I170" s="267"/>
      <c r="J170" s="267"/>
      <c r="K170" s="267"/>
      <c r="L170" s="267"/>
      <c r="N170"/>
      <c r="O170"/>
    </row>
    <row r="171" spans="1:24" ht="12.75" customHeight="1" x14ac:dyDescent="0.2">
      <c r="A171" s="52"/>
      <c r="B171" s="259" t="s">
        <v>153</v>
      </c>
      <c r="C171" s="259"/>
      <c r="D171" s="259"/>
      <c r="E171" s="259"/>
      <c r="F171" s="85"/>
      <c r="G171" s="54"/>
      <c r="H171" s="259" t="s">
        <v>457</v>
      </c>
      <c r="I171" s="260"/>
      <c r="J171" s="260"/>
      <c r="K171" s="260"/>
      <c r="L171" s="54"/>
      <c r="N171"/>
      <c r="O171"/>
    </row>
    <row r="172" spans="1:24" x14ac:dyDescent="0.2">
      <c r="A172" s="64"/>
      <c r="B172" s="269"/>
      <c r="C172" s="269"/>
      <c r="D172" s="269"/>
      <c r="E172" s="269"/>
      <c r="F172" s="85"/>
      <c r="G172" s="54"/>
      <c r="H172" s="261"/>
      <c r="I172" s="261"/>
      <c r="J172" s="261"/>
      <c r="K172" s="261"/>
      <c r="L172" s="83"/>
      <c r="N172"/>
      <c r="O172"/>
    </row>
    <row r="173" spans="1:24" x14ac:dyDescent="0.2">
      <c r="A173" s="53"/>
      <c r="B173" s="84" t="s">
        <v>498</v>
      </c>
      <c r="C173" s="84" t="s">
        <v>499</v>
      </c>
      <c r="D173" s="84" t="s">
        <v>500</v>
      </c>
      <c r="E173" s="84" t="s">
        <v>501</v>
      </c>
      <c r="F173" s="55"/>
      <c r="G173" s="55"/>
      <c r="H173" s="84" t="s">
        <v>498</v>
      </c>
      <c r="I173" s="84" t="s">
        <v>499</v>
      </c>
      <c r="J173" s="84" t="s">
        <v>500</v>
      </c>
      <c r="K173" s="84" t="s">
        <v>501</v>
      </c>
      <c r="L173" s="27"/>
      <c r="N173"/>
      <c r="O173"/>
    </row>
    <row r="174" spans="1:24" ht="14.1" customHeight="1" x14ac:dyDescent="0.2">
      <c r="A174" s="64" t="s">
        <v>22</v>
      </c>
      <c r="B174" s="65">
        <f>'Template IF 2'!DG3</f>
        <v>84.81470548925877</v>
      </c>
      <c r="C174" s="65">
        <f>'Template IF 2'!DH3</f>
        <v>86.273154493302911</v>
      </c>
      <c r="D174" s="65">
        <f>'Template IF 2'!DI3</f>
        <v>85.326799852033147</v>
      </c>
      <c r="E174" s="65">
        <f>'Template IF 2'!DJ3</f>
        <v>81.97516113926136</v>
      </c>
      <c r="F174" s="60"/>
      <c r="G174" s="54"/>
      <c r="H174" s="99">
        <f>'Template IF 2'!DK3</f>
        <v>11.363090927546772</v>
      </c>
      <c r="I174" s="99">
        <f>'Template IF 2'!DL3</f>
        <v>9.680756627539429</v>
      </c>
      <c r="J174" s="99">
        <f>'Template IF 2'!DM3</f>
        <v>10.462525798533894</v>
      </c>
      <c r="K174" s="99">
        <f>'Template IF 2'!DN3</f>
        <v>9.3264124221596774</v>
      </c>
      <c r="L174" s="60"/>
      <c r="M174" s="24"/>
      <c r="N174"/>
      <c r="O174"/>
      <c r="P174" s="24"/>
      <c r="Q174" s="24"/>
      <c r="S174" s="24"/>
      <c r="T174" s="24"/>
      <c r="U174" s="24"/>
      <c r="V174" s="24"/>
      <c r="X174" s="24"/>
    </row>
    <row r="175" spans="1:24" ht="14.1" customHeight="1" x14ac:dyDescent="0.2">
      <c r="A175" s="64" t="str">
        <f>A16</f>
        <v>Aitkin, Itasca, Koochiching</v>
      </c>
      <c r="B175" s="62">
        <f>VLOOKUP($A16,'Template IF 2'!$B$3:$HI$110,110,FALSE)</f>
        <v>88.7</v>
      </c>
      <c r="C175" s="62">
        <f>VLOOKUP($A16,'Template IF 2'!$B$3:$HI$110,111,FALSE)</f>
        <v>85.1</v>
      </c>
      <c r="D175" s="62">
        <f>VLOOKUP($A16,'Template IF 2'!$B$3:$HI$110,112,FALSE)</f>
        <v>84.4</v>
      </c>
      <c r="E175" s="62">
        <f>VLOOKUP($A16,'Template IF 2'!$B$3:$HI$111,113,FALSE)</f>
        <v>82.4</v>
      </c>
      <c r="F175" s="60"/>
      <c r="G175" s="54"/>
      <c r="H175" s="81">
        <f>VLOOKUP($A16,'Template IF 2'!$B$3:$HI$110,114,FALSE)</f>
        <v>19.5</v>
      </c>
      <c r="I175" s="81">
        <f>VLOOKUP($A16,'Template IF 2'!$B$3:$HI$110,115,FALSE)</f>
        <v>23.1</v>
      </c>
      <c r="J175" s="81">
        <f>VLOOKUP($A16,'Template IF 2'!$B$3:$HI$110,116,FALSE)</f>
        <v>23.2</v>
      </c>
      <c r="K175" s="81">
        <f>VLOOKUP($A16,'Template IF 2'!$B$3:$HI$110,117,FALSE)</f>
        <v>22.2</v>
      </c>
      <c r="L175" s="60"/>
      <c r="M175" s="24"/>
      <c r="N175"/>
      <c r="O175"/>
      <c r="P175" s="24"/>
      <c r="Q175" s="24"/>
      <c r="S175" s="24"/>
      <c r="T175" s="24"/>
      <c r="U175" s="24"/>
      <c r="V175" s="24"/>
      <c r="X175" s="24"/>
    </row>
    <row r="176" spans="1:24" ht="14.1" customHeight="1" x14ac:dyDescent="0.2">
      <c r="A176" s="64" t="str">
        <f>A18</f>
        <v>Anoka County</v>
      </c>
      <c r="B176" s="62">
        <f>VLOOKUP($A18,'Template IF 2'!$B$3:$HI$110,110,FALSE)</f>
        <v>85.3</v>
      </c>
      <c r="C176" s="62">
        <f>VLOOKUP($A18,'Template IF 2'!$B$3:$HI$110,111,FALSE)</f>
        <v>86.4</v>
      </c>
      <c r="D176" s="62">
        <f>VLOOKUP($A18,'Template IF 2'!$B$3:$HI$110,112,FALSE)</f>
        <v>86.7</v>
      </c>
      <c r="E176" s="62">
        <f>VLOOKUP($A18,'Template IF 2'!$B$3:$HI$111,113,FALSE)</f>
        <v>85.4</v>
      </c>
      <c r="F176" s="60"/>
      <c r="G176" s="54"/>
      <c r="H176" s="81">
        <f>VLOOKUP($A18,'Template IF 2'!$B$3:$HI$110,114,FALSE)</f>
        <v>10.4</v>
      </c>
      <c r="I176" s="81">
        <f>VLOOKUP($A18,'Template IF 2'!$B$3:$HI$110,115,FALSE)</f>
        <v>7.4</v>
      </c>
      <c r="J176" s="81">
        <f>VLOOKUP($A18,'Template IF 2'!$B$3:$HI$110,116,FALSE)</f>
        <v>9.6</v>
      </c>
      <c r="K176" s="81">
        <f>VLOOKUP($A18,'Template IF 2'!$B$3:$HI$110,117,FALSE)</f>
        <v>9.1</v>
      </c>
      <c r="L176" s="60"/>
      <c r="N176"/>
      <c r="O176"/>
    </row>
    <row r="177" spans="1:15" ht="14.1" customHeight="1" x14ac:dyDescent="0.2">
      <c r="A177" s="64" t="str">
        <f>A20</f>
        <v>Becker County</v>
      </c>
      <c r="B177" s="62">
        <f>VLOOKUP($A20,'Template IF 2'!$B$3:$HI$110,110,FALSE)</f>
        <v>81.2</v>
      </c>
      <c r="C177" s="62">
        <f>VLOOKUP($A20,'Template IF 2'!$B$3:$HI$110,111,FALSE)</f>
        <v>83.2</v>
      </c>
      <c r="D177" s="62">
        <f>VLOOKUP($A20,'Template IF 2'!$B$3:$HI$110,112,FALSE)</f>
        <v>82.6</v>
      </c>
      <c r="E177" s="62">
        <f>VLOOKUP($A20,'Template IF 2'!$B$3:$HI$111,113,FALSE)</f>
        <v>73</v>
      </c>
      <c r="F177" s="60"/>
      <c r="G177" s="54"/>
      <c r="H177" s="81">
        <f>VLOOKUP($A20,'Template IF 2'!$B$3:$HI$110,114,FALSE)</f>
        <v>23.9</v>
      </c>
      <c r="I177" s="81">
        <f>VLOOKUP($A20,'Template IF 2'!$B$3:$HI$110,115,FALSE)</f>
        <v>21.1</v>
      </c>
      <c r="J177" s="81">
        <f>VLOOKUP($A20,'Template IF 2'!$B$3:$HI$110,116,FALSE)</f>
        <v>20.7</v>
      </c>
      <c r="K177" s="81">
        <f>VLOOKUP($A20,'Template IF 2'!$B$3:$HI$110,117,FALSE)</f>
        <v>22.3</v>
      </c>
      <c r="L177" s="60"/>
      <c r="N177"/>
      <c r="O177"/>
    </row>
    <row r="178" spans="1:15" ht="14.1" customHeight="1" x14ac:dyDescent="0.2">
      <c r="A178" s="64" t="str">
        <f>A22</f>
        <v>Beltrami County</v>
      </c>
      <c r="B178" s="62">
        <f>VLOOKUP($A22,'Template IF 2'!$B$3:$HI$110,110,FALSE)</f>
        <v>72.5</v>
      </c>
      <c r="C178" s="62">
        <f>VLOOKUP($A22,'Template IF 2'!$B$3:$HI$110,111,FALSE)</f>
        <v>72.5</v>
      </c>
      <c r="D178" s="62">
        <f>VLOOKUP($A22,'Template IF 2'!$B$3:$HI$110,112,FALSE)</f>
        <v>72.400000000000006</v>
      </c>
      <c r="E178" s="62">
        <f>VLOOKUP($A22,'Template IF 2'!$B$3:$HI$111,113,FALSE)</f>
        <v>72.099999999999994</v>
      </c>
      <c r="F178" s="60"/>
      <c r="G178" s="54"/>
      <c r="H178" s="81">
        <f>VLOOKUP($A22,'Template IF 2'!$B$3:$HI$110,114,FALSE)</f>
        <v>18.600000000000001</v>
      </c>
      <c r="I178" s="81">
        <f>VLOOKUP($A22,'Template IF 2'!$B$3:$HI$110,115,FALSE)</f>
        <v>26.6</v>
      </c>
      <c r="J178" s="81">
        <f>VLOOKUP($A22,'Template IF 2'!$B$3:$HI$110,116,FALSE)</f>
        <v>28.5</v>
      </c>
      <c r="K178" s="81">
        <f>VLOOKUP($A22,'Template IF 2'!$B$3:$HI$110,117,FALSE)</f>
        <v>24.5</v>
      </c>
      <c r="L178" s="60"/>
      <c r="N178"/>
      <c r="O178"/>
    </row>
    <row r="179" spans="1:15" ht="14.1" customHeight="1" x14ac:dyDescent="0.2">
      <c r="A179" s="64" t="str">
        <f>A24</f>
        <v>Benton County</v>
      </c>
      <c r="B179" s="62">
        <f>VLOOKUP($A24,'Template IF 2'!$B$3:$HI$110,110,FALSE)</f>
        <v>89.8</v>
      </c>
      <c r="C179" s="62">
        <f>VLOOKUP($A24,'Template IF 2'!$B$3:$HI$110,111,FALSE)</f>
        <v>90.1</v>
      </c>
      <c r="D179" s="62">
        <f>VLOOKUP($A24,'Template IF 2'!$B$3:$HI$110,112,FALSE)</f>
        <v>88.4</v>
      </c>
      <c r="E179" s="62">
        <f>VLOOKUP($A24,'Template IF 2'!$B$3:$HI$111,113,FALSE)</f>
        <v>83.8</v>
      </c>
      <c r="F179" s="60"/>
      <c r="G179" s="54"/>
      <c r="H179" s="81">
        <f>VLOOKUP($A24,'Template IF 2'!$B$3:$HI$110,114,FALSE)</f>
        <v>16.8</v>
      </c>
      <c r="I179" s="81">
        <f>VLOOKUP($A24,'Template IF 2'!$B$3:$HI$110,115,FALSE)</f>
        <v>17.2</v>
      </c>
      <c r="J179" s="81">
        <f>VLOOKUP($A24,'Template IF 2'!$B$3:$HI$110,116,FALSE)</f>
        <v>17.7</v>
      </c>
      <c r="K179" s="81">
        <f>VLOOKUP($A24,'Template IF 2'!$B$3:$HI$110,117,FALSE)</f>
        <v>18</v>
      </c>
      <c r="L179" s="60"/>
      <c r="N179"/>
      <c r="O179"/>
    </row>
    <row r="180" spans="1:15" ht="14.1" customHeight="1" x14ac:dyDescent="0.2">
      <c r="A180" s="53" t="str">
        <f>A26</f>
        <v>Big Stone County</v>
      </c>
      <c r="B180" s="63">
        <f>VLOOKUP($A26,'Template IF 2'!$B$3:$HI$110,110,FALSE)</f>
        <v>80.7</v>
      </c>
      <c r="C180" s="63">
        <f>VLOOKUP($A26,'Template IF 2'!$B$3:$HI$110,111,FALSE)</f>
        <v>81.2</v>
      </c>
      <c r="D180" s="63">
        <f>VLOOKUP($A26,'Template IF 2'!$B$3:$HI$110,112,FALSE)</f>
        <v>84.6</v>
      </c>
      <c r="E180" s="63">
        <f>VLOOKUP($A26,'Template IF 2'!$B$3:$HI$111,113,FALSE)</f>
        <v>81</v>
      </c>
      <c r="F180" s="71"/>
      <c r="G180" s="55"/>
      <c r="H180" s="82">
        <f>VLOOKUP($A26,'Template IF 2'!$B$3:$HI$110,114,FALSE)</f>
        <v>17.100000000000001</v>
      </c>
      <c r="I180" s="82">
        <f>VLOOKUP($A26,'Template IF 2'!$B$3:$HI$110,115,FALSE)</f>
        <v>10.8</v>
      </c>
      <c r="J180" s="82">
        <f>VLOOKUP($A26,'Template IF 2'!$B$3:$HI$110,116,FALSE)</f>
        <v>15.7</v>
      </c>
      <c r="K180" s="82">
        <f>VLOOKUP($A26,'Template IF 2'!$B$3:$HI$110,117,FALSE)</f>
        <v>12.7</v>
      </c>
      <c r="L180" s="60"/>
      <c r="N180"/>
      <c r="O180"/>
    </row>
    <row r="181" spans="1:15" x14ac:dyDescent="0.2">
      <c r="A181" s="52" t="s">
        <v>162</v>
      </c>
      <c r="B181" s="66"/>
      <c r="C181" s="66"/>
      <c r="D181" s="66"/>
      <c r="E181" s="66"/>
      <c r="F181" s="66"/>
      <c r="G181" s="54"/>
      <c r="H181" s="54"/>
      <c r="I181" s="54"/>
      <c r="J181" s="54"/>
      <c r="K181" s="54"/>
      <c r="L181" s="54"/>
      <c r="N181"/>
      <c r="O181"/>
    </row>
    <row r="182" spans="1:15" ht="23.25" customHeight="1" x14ac:dyDescent="0.2">
      <c r="A182" s="52"/>
      <c r="B182" s="54"/>
      <c r="C182" s="54"/>
      <c r="D182" s="54"/>
      <c r="E182" s="54"/>
      <c r="F182" s="54"/>
      <c r="G182" s="54"/>
      <c r="H182" s="259" t="s">
        <v>458</v>
      </c>
      <c r="I182" s="259"/>
      <c r="J182" s="259"/>
      <c r="K182" s="259"/>
      <c r="L182" s="54"/>
      <c r="N182"/>
      <c r="O182"/>
    </row>
    <row r="183" spans="1:15" ht="12.75" customHeight="1" x14ac:dyDescent="0.2">
      <c r="A183" s="64"/>
      <c r="B183" s="261" t="s">
        <v>135</v>
      </c>
      <c r="C183" s="261"/>
      <c r="D183" s="261"/>
      <c r="E183" s="261"/>
      <c r="F183" s="83"/>
      <c r="G183" s="54"/>
      <c r="H183" s="269"/>
      <c r="I183" s="269"/>
      <c r="J183" s="269"/>
      <c r="K183" s="269"/>
      <c r="L183" s="83"/>
      <c r="N183"/>
      <c r="O183"/>
    </row>
    <row r="184" spans="1:15" ht="11.25" customHeight="1" x14ac:dyDescent="0.2">
      <c r="A184" s="53"/>
      <c r="B184" s="84" t="s">
        <v>498</v>
      </c>
      <c r="C184" s="84" t="s">
        <v>499</v>
      </c>
      <c r="D184" s="84" t="s">
        <v>500</v>
      </c>
      <c r="E184" s="84" t="s">
        <v>501</v>
      </c>
      <c r="F184" s="55"/>
      <c r="G184" s="55"/>
      <c r="H184" s="84" t="s">
        <v>498</v>
      </c>
      <c r="I184" s="84" t="s">
        <v>499</v>
      </c>
      <c r="J184" s="84" t="s">
        <v>500</v>
      </c>
      <c r="K184" s="84" t="s">
        <v>501</v>
      </c>
      <c r="L184" s="86"/>
      <c r="N184"/>
      <c r="O184"/>
    </row>
    <row r="185" spans="1:15" ht="14.1" customHeight="1" x14ac:dyDescent="0.2">
      <c r="A185" s="64" t="s">
        <v>22</v>
      </c>
      <c r="B185" s="65">
        <f>'Template IF 2'!DO3</f>
        <v>26.092216494492693</v>
      </c>
      <c r="C185" s="65">
        <f>'Template IF 2'!DP3</f>
        <v>30.163156066648583</v>
      </c>
      <c r="D185" s="65">
        <f>'Template IF 2'!DQ3</f>
        <v>33.18077676555091</v>
      </c>
      <c r="E185" s="65">
        <f>'Template IF 2'!DR3</f>
        <v>32.326043617356738</v>
      </c>
      <c r="F185" s="86"/>
      <c r="G185" s="54"/>
      <c r="H185" s="65">
        <f>'Template IF 2'!DS3</f>
        <v>29.058164670026237</v>
      </c>
      <c r="I185" s="65">
        <f>'Template IF 2'!DT3</f>
        <v>27.118241579087421</v>
      </c>
      <c r="J185" s="65">
        <f>'Template IF 2'!DU3</f>
        <v>22.365081557475968</v>
      </c>
      <c r="K185" s="65">
        <f>'Template IF 2'!DV3</f>
        <v>14.163637722559969</v>
      </c>
      <c r="L185" s="60"/>
      <c r="N185"/>
    </row>
    <row r="186" spans="1:15" ht="14.1" customHeight="1" x14ac:dyDescent="0.2">
      <c r="A186" s="64" t="str">
        <f>A16</f>
        <v>Aitkin, Itasca, Koochiching</v>
      </c>
      <c r="B186" s="62">
        <f>VLOOKUP($A16,'Template IF 2'!$B$3:$HI$110,118,FALSE)</f>
        <v>34.299999999999997</v>
      </c>
      <c r="C186" s="62">
        <f>VLOOKUP($A16,'Template IF 2'!$B$3:$HI$110,119,FALSE)</f>
        <v>40.1</v>
      </c>
      <c r="D186" s="62">
        <f>VLOOKUP($A16,'Template IF 2'!$B$3:$HI$110,120,FALSE)</f>
        <v>42.8</v>
      </c>
      <c r="E186" s="62">
        <f>VLOOKUP($A16,'Template IF 2'!$B$3:$HI$110,121,FALSE)</f>
        <v>43.9</v>
      </c>
      <c r="F186" s="60"/>
      <c r="G186" s="54"/>
      <c r="H186" s="78">
        <f>VLOOKUP($A16,'Template IF 2'!$B$3:$HI$110,122,FALSE)</f>
        <v>30.8</v>
      </c>
      <c r="I186" s="78">
        <f>VLOOKUP($A16,'Template IF 2'!$B$3:$HI$111,123,FALSE)</f>
        <v>31.1</v>
      </c>
      <c r="J186" s="68">
        <f>VLOOKUP($A16,'Template IF 2'!$B$3:$HI$110,124,FALSE)</f>
        <v>27.6</v>
      </c>
      <c r="K186" s="68">
        <f>VLOOKUP($A16,'Template IF 2'!$B$3:$HI$110,125,FALSE)</f>
        <v>18.899999999999999</v>
      </c>
      <c r="L186" s="60"/>
      <c r="N186"/>
    </row>
    <row r="187" spans="1:15" ht="14.1" customHeight="1" x14ac:dyDescent="0.2">
      <c r="A187" s="64" t="str">
        <f>A18</f>
        <v>Anoka County</v>
      </c>
      <c r="B187" s="62">
        <f>VLOOKUP($A18,'Template IF 2'!$B$3:$HI$110,118,FALSE)</f>
        <v>23</v>
      </c>
      <c r="C187" s="62">
        <f>VLOOKUP($A18,'Template IF 2'!$B$3:$HI$110,119,FALSE)</f>
        <v>26.1</v>
      </c>
      <c r="D187" s="62">
        <f>VLOOKUP($A18,'Template IF 2'!$B$3:$HI$110,120,FALSE)</f>
        <v>30.2</v>
      </c>
      <c r="E187" s="62">
        <f>VLOOKUP($A18,'Template IF 2'!$B$3:$HI$110,121,FALSE)</f>
        <v>31</v>
      </c>
      <c r="F187" s="60"/>
      <c r="G187" s="54"/>
      <c r="H187" s="78">
        <f>VLOOKUP($A18,'Template IF 2'!$B$3:$HI$110,122,FALSE)</f>
        <v>26.3</v>
      </c>
      <c r="I187" s="78">
        <f>VLOOKUP($A18,'Template IF 2'!$B$3:$HI$111,123,FALSE)</f>
        <v>21.7</v>
      </c>
      <c r="J187" s="68">
        <f>VLOOKUP($A18,'Template IF 2'!$B$3:$HI$110,124,FALSE)</f>
        <v>17.100000000000001</v>
      </c>
      <c r="K187" s="68">
        <f>VLOOKUP($A18,'Template IF 2'!$B$3:$HI$110,125,FALSE)</f>
        <v>11.4</v>
      </c>
      <c r="L187" s="60"/>
      <c r="N187"/>
    </row>
    <row r="188" spans="1:15" ht="14.1" customHeight="1" x14ac:dyDescent="0.2">
      <c r="A188" s="64" t="str">
        <f>A20</f>
        <v>Becker County</v>
      </c>
      <c r="B188" s="62">
        <f>VLOOKUP($A20,'Template IF 2'!$B$3:$HI$110,118,FALSE)</f>
        <v>33.299999999999997</v>
      </c>
      <c r="C188" s="62">
        <f>VLOOKUP($A20,'Template IF 2'!$B$3:$HI$110,119,FALSE)</f>
        <v>37.799999999999997</v>
      </c>
      <c r="D188" s="62">
        <f>VLOOKUP($A20,'Template IF 2'!$B$3:$HI$110,120,FALSE)</f>
        <v>41.9</v>
      </c>
      <c r="E188" s="62">
        <f>VLOOKUP($A20,'Template IF 2'!$B$3:$HI$110,121,FALSE)</f>
        <v>41.1</v>
      </c>
      <c r="F188" s="60"/>
      <c r="G188" s="54"/>
      <c r="H188" s="78">
        <f>VLOOKUP($A20,'Template IF 2'!$B$3:$HI$110,122,FALSE)</f>
        <v>38.799999999999997</v>
      </c>
      <c r="I188" s="78">
        <f>VLOOKUP($A20,'Template IF 2'!$B$3:$HI$111,123,FALSE)</f>
        <v>32.700000000000003</v>
      </c>
      <c r="J188" s="68">
        <f>VLOOKUP($A20,'Template IF 2'!$B$3:$HI$110,124,FALSE)</f>
        <v>35.200000000000003</v>
      </c>
      <c r="K188" s="68">
        <f>VLOOKUP($A20,'Template IF 2'!$B$3:$HI$110,125,FALSE)</f>
        <v>18.399999999999999</v>
      </c>
      <c r="L188" s="60"/>
      <c r="N188"/>
    </row>
    <row r="189" spans="1:15" ht="14.1" customHeight="1" x14ac:dyDescent="0.2">
      <c r="A189" s="64" t="str">
        <f>A22</f>
        <v>Beltrami County</v>
      </c>
      <c r="B189" s="62">
        <f>VLOOKUP($A22,'Template IF 2'!$B$3:$HI$110,118,FALSE)</f>
        <v>48.3</v>
      </c>
      <c r="C189" s="62">
        <f>VLOOKUP($A22,'Template IF 2'!$B$3:$HI$110,119,FALSE)</f>
        <v>52.9</v>
      </c>
      <c r="D189" s="62">
        <f>VLOOKUP($A22,'Template IF 2'!$B$3:$HI$110,120,FALSE)</f>
        <v>57.8</v>
      </c>
      <c r="E189" s="62">
        <f>VLOOKUP($A22,'Template IF 2'!$B$3:$HI$110,121,FALSE)</f>
        <v>57.5</v>
      </c>
      <c r="F189" s="60"/>
      <c r="G189" s="54"/>
      <c r="H189" s="78">
        <f>VLOOKUP($A22,'Template IF 2'!$B$3:$HI$110,122,FALSE)</f>
        <v>45.2</v>
      </c>
      <c r="I189" s="78">
        <f>VLOOKUP($A22,'Template IF 2'!$B$3:$HI$111,123,FALSE)</f>
        <v>54.3</v>
      </c>
      <c r="J189" s="68">
        <f>VLOOKUP($A22,'Template IF 2'!$B$3:$HI$110,124,FALSE)</f>
        <v>53</v>
      </c>
      <c r="K189" s="68">
        <f>VLOOKUP($A22,'Template IF 2'!$B$3:$HI$110,125,FALSE)</f>
        <v>31.1</v>
      </c>
      <c r="L189" s="60"/>
      <c r="N189"/>
    </row>
    <row r="190" spans="1:15" ht="14.1" customHeight="1" x14ac:dyDescent="0.2">
      <c r="A190" s="64" t="str">
        <f>A24</f>
        <v>Benton County</v>
      </c>
      <c r="B190" s="62">
        <f>VLOOKUP($A24,'Template IF 2'!$B$3:$HI$110,118,FALSE)</f>
        <v>29.1</v>
      </c>
      <c r="C190" s="62">
        <f>VLOOKUP($A24,'Template IF 2'!$B$3:$HI$110,119,FALSE)</f>
        <v>32.4</v>
      </c>
      <c r="D190" s="62">
        <f>VLOOKUP($A24,'Template IF 2'!$B$3:$HI$110,120,FALSE)</f>
        <v>33.200000000000003</v>
      </c>
      <c r="E190" s="62">
        <f>VLOOKUP($A24,'Template IF 2'!$B$3:$HI$110,121,FALSE)</f>
        <v>34.200000000000003</v>
      </c>
      <c r="F190" s="60"/>
      <c r="G190" s="54"/>
      <c r="H190" s="78">
        <f>VLOOKUP($A24,'Template IF 2'!$B$3:$HI$110,122,FALSE)</f>
        <v>40.1</v>
      </c>
      <c r="I190" s="78">
        <f>VLOOKUP($A24,'Template IF 2'!$B$3:$HI$111,123,FALSE)</f>
        <v>34.799999999999997</v>
      </c>
      <c r="J190" s="68">
        <f>VLOOKUP($A24,'Template IF 2'!$B$3:$HI$110,124,FALSE)</f>
        <v>25.5</v>
      </c>
      <c r="K190" s="68">
        <f>VLOOKUP($A24,'Template IF 2'!$B$3:$HI$110,125,FALSE)</f>
        <v>14.3</v>
      </c>
      <c r="L190" s="60"/>
      <c r="N190"/>
    </row>
    <row r="191" spans="1:15" ht="14.1" customHeight="1" x14ac:dyDescent="0.2">
      <c r="A191" s="53" t="str">
        <f>A26</f>
        <v>Big Stone County</v>
      </c>
      <c r="B191" s="63">
        <f>VLOOKUP($A26,'Template IF 2'!$B$3:$HI$110,118,FALSE)</f>
        <v>26.1</v>
      </c>
      <c r="C191" s="63">
        <f>VLOOKUP($A26,'Template IF 2'!$B$3:$HI$110,119,FALSE)</f>
        <v>21.3</v>
      </c>
      <c r="D191" s="63">
        <f>VLOOKUP($A26,'Template IF 2'!$B$3:$HI$110,120,FALSE)</f>
        <v>26.6</v>
      </c>
      <c r="E191" s="63">
        <f>VLOOKUP($A26,'Template IF 2'!$B$3:$HI$110,121,FALSE)</f>
        <v>28.3</v>
      </c>
      <c r="F191" s="71"/>
      <c r="G191" s="55"/>
      <c r="H191" s="70">
        <f>VLOOKUP($A26,'Template IF 2'!$B$3:$HI$110,122,FALSE)</f>
        <v>30.3</v>
      </c>
      <c r="I191" s="70">
        <f>VLOOKUP($A26,'Template IF 2'!$B$3:$HI$111,123,FALSE)</f>
        <v>16.100000000000001</v>
      </c>
      <c r="J191" s="70">
        <f>VLOOKUP($A26,'Template IF 2'!$B$3:$HI$110,124,FALSE)</f>
        <v>22.1</v>
      </c>
      <c r="K191" s="70">
        <f>VLOOKUP($A26,'Template IF 2'!$B$3:$HI$110,125,FALSE)</f>
        <v>12.7</v>
      </c>
      <c r="L191" s="60"/>
      <c r="N191"/>
    </row>
    <row r="192" spans="1:15" x14ac:dyDescent="0.2">
      <c r="A192" s="52" t="s">
        <v>162</v>
      </c>
      <c r="B192" s="66"/>
      <c r="C192" s="66"/>
      <c r="D192" s="66"/>
      <c r="E192" s="66"/>
      <c r="F192" s="66"/>
      <c r="G192" s="54"/>
      <c r="H192" s="54"/>
      <c r="I192" s="54"/>
      <c r="J192" s="54"/>
      <c r="K192" s="54"/>
      <c r="L192" s="54"/>
      <c r="N192"/>
      <c r="O192"/>
    </row>
    <row r="193" spans="1:32" ht="17.25" customHeight="1" x14ac:dyDescent="0.2">
      <c r="A193" s="52"/>
      <c r="B193" s="54"/>
      <c r="C193" s="54"/>
      <c r="D193" s="54"/>
      <c r="E193" s="54"/>
      <c r="F193" s="54"/>
      <c r="G193" s="54"/>
      <c r="H193" s="60"/>
      <c r="I193" s="60"/>
      <c r="J193" s="60"/>
      <c r="K193" s="60"/>
      <c r="L193" s="27"/>
      <c r="N193"/>
      <c r="O193"/>
    </row>
    <row r="194" spans="1:32" ht="18" customHeight="1" x14ac:dyDescent="0.2">
      <c r="A194" s="64"/>
      <c r="B194" s="261" t="s">
        <v>516</v>
      </c>
      <c r="C194" s="261"/>
      <c r="D194" s="261"/>
      <c r="E194" s="261"/>
      <c r="F194" s="261"/>
      <c r="G194" s="54"/>
      <c r="H194" s="261" t="s">
        <v>455</v>
      </c>
      <c r="I194" s="261"/>
      <c r="J194" s="261"/>
      <c r="K194" s="261"/>
      <c r="L194" s="83"/>
      <c r="N194"/>
      <c r="O194"/>
      <c r="R194" s="15"/>
      <c r="T194"/>
    </row>
    <row r="195" spans="1:32" ht="24" x14ac:dyDescent="0.2">
      <c r="A195" s="53"/>
      <c r="B195" s="87" t="s">
        <v>25</v>
      </c>
      <c r="C195" s="88" t="s">
        <v>37</v>
      </c>
      <c r="D195" s="88" t="s">
        <v>34</v>
      </c>
      <c r="E195" s="87" t="s">
        <v>28</v>
      </c>
      <c r="F195" s="87" t="s">
        <v>46</v>
      </c>
      <c r="G195" s="55"/>
      <c r="H195" s="100" t="s">
        <v>502</v>
      </c>
      <c r="I195" s="100" t="s">
        <v>503</v>
      </c>
      <c r="J195" s="100" t="s">
        <v>504</v>
      </c>
      <c r="K195" s="100" t="s">
        <v>505</v>
      </c>
      <c r="L195" s="27"/>
      <c r="N195"/>
      <c r="O195"/>
      <c r="R195" s="15"/>
      <c r="T195"/>
    </row>
    <row r="196" spans="1:32" ht="14.1" customHeight="1" x14ac:dyDescent="0.2">
      <c r="A196" s="64" t="s">
        <v>22</v>
      </c>
      <c r="B196" s="124">
        <f>'Template IF 2'!DW3</f>
        <v>47887</v>
      </c>
      <c r="C196" s="124">
        <f>'Template IF 2'!DX3</f>
        <v>8663</v>
      </c>
      <c r="D196" s="124">
        <f>'Template IF 2'!DY3</f>
        <v>1197</v>
      </c>
      <c r="E196" s="124">
        <f>'Template IF 2'!DZ3</f>
        <v>5492</v>
      </c>
      <c r="F196" s="124">
        <f>'Template IF 2'!EA3</f>
        <v>4894</v>
      </c>
      <c r="G196" s="60"/>
      <c r="H196" s="124">
        <f>'Template IF 2'!EB3</f>
        <v>1888</v>
      </c>
      <c r="I196" s="124">
        <f>'Template IF 2'!EC3</f>
        <v>1747</v>
      </c>
      <c r="J196" s="124">
        <f>'Template IF 2'!ED3</f>
        <v>1785</v>
      </c>
      <c r="K196" s="124">
        <f>'Template IF 2'!EE3</f>
        <v>1757</v>
      </c>
      <c r="L196" s="60"/>
      <c r="N196"/>
      <c r="O196"/>
      <c r="V196" s="21"/>
    </row>
    <row r="197" spans="1:32" ht="14.1" customHeight="1" x14ac:dyDescent="0.2">
      <c r="A197" s="64" t="str">
        <f>A16</f>
        <v>Aitkin, Itasca, Koochiching</v>
      </c>
      <c r="B197" s="124">
        <f>VLOOKUP($A16,'Template IF 2'!$B$3:$HI$110,126,FALSE)</f>
        <v>619</v>
      </c>
      <c r="C197" s="124">
        <f>VLOOKUP($A16,'Template IF 2'!$B$3:$HI$110,127,FALSE)</f>
        <v>6</v>
      </c>
      <c r="D197" s="124">
        <f>VLOOKUP($A16,'Template IF 2'!$B$3:$HI$110,128,FALSE)</f>
        <v>50</v>
      </c>
      <c r="E197" s="124">
        <f>VLOOKUP($A16,'Template IF 2'!$B$3:$HI$110,129,FALSE)</f>
        <v>2</v>
      </c>
      <c r="F197" s="124">
        <f>VLOOKUP($A16,'Template IF 2'!$B$3:$HI$110,130,FALSE)</f>
        <v>10</v>
      </c>
      <c r="G197" s="60"/>
      <c r="H197" s="124">
        <f>VLOOKUP($A16,'Template IF 2'!$B$3:$HI$110,131,FALSE)</f>
        <v>26</v>
      </c>
      <c r="I197" s="124">
        <f>VLOOKUP($A16,'Template IF 2'!$B$3:$HI$110,132,FALSE)</f>
        <v>26</v>
      </c>
      <c r="J197" s="124">
        <f>VLOOKUP($A16,'Template IF 2'!$B$3:$HI$110,133,FALSE)</f>
        <v>11</v>
      </c>
      <c r="K197" s="124">
        <f>VLOOKUP($A16,'Template IF 2'!$B$3:$HI$110,134,FALSE)</f>
        <v>24</v>
      </c>
      <c r="L197" s="60"/>
      <c r="N197"/>
      <c r="O197"/>
      <c r="V197" s="21"/>
    </row>
    <row r="198" spans="1:32" ht="14.1" customHeight="1" x14ac:dyDescent="0.2">
      <c r="A198" s="64" t="str">
        <f>A18</f>
        <v>Anoka County</v>
      </c>
      <c r="B198" s="124">
        <f>VLOOKUP($A18,'Template IF 2'!$B$3:$HI$110,126,FALSE)</f>
        <v>3041</v>
      </c>
      <c r="C198" s="124">
        <f>VLOOKUP($A18,'Template IF 2'!$B$3:$HI$110,127,FALSE)</f>
        <v>533</v>
      </c>
      <c r="D198" s="124">
        <f>VLOOKUP($A18,'Template IF 2'!$B$3:$HI$110,128,FALSE)</f>
        <v>32</v>
      </c>
      <c r="E198" s="124">
        <f>VLOOKUP($A18,'Template IF 2'!$B$3:$HI$110,129,FALSE)</f>
        <v>318</v>
      </c>
      <c r="F198" s="124">
        <f>VLOOKUP($A18,'Template IF 2'!$B$3:$HI$110,130,FALSE)</f>
        <v>259</v>
      </c>
      <c r="G198" s="60"/>
      <c r="H198" s="124">
        <f>VLOOKUP($A18,'Template IF 2'!$B$3:$HI$110,131,FALSE)</f>
        <v>109</v>
      </c>
      <c r="I198" s="124">
        <f>VLOOKUP($A18,'Template IF 2'!$B$3:$HI$110,132,FALSE)</f>
        <v>98</v>
      </c>
      <c r="J198" s="124">
        <f>VLOOKUP($A18,'Template IF 2'!$B$3:$HI$110,133,FALSE)</f>
        <v>100</v>
      </c>
      <c r="K198" s="124">
        <f>VLOOKUP($A18,'Template IF 2'!$B$3:$HI$110,134,FALSE)</f>
        <v>86</v>
      </c>
      <c r="L198" s="60"/>
      <c r="N198"/>
      <c r="O198"/>
      <c r="V198" s="21"/>
    </row>
    <row r="199" spans="1:32" ht="14.1" customHeight="1" x14ac:dyDescent="0.2">
      <c r="A199" s="64" t="str">
        <f>A20</f>
        <v>Becker County</v>
      </c>
      <c r="B199" s="124">
        <f>VLOOKUP($A20,'Template IF 2'!$B$3:$HI$110,126,FALSE)</f>
        <v>325</v>
      </c>
      <c r="C199" s="124">
        <f>VLOOKUP($A20,'Template IF 2'!$B$3:$HI$110,127,FALSE)</f>
        <v>3</v>
      </c>
      <c r="D199" s="124">
        <f>VLOOKUP($A20,'Template IF 2'!$B$3:$HI$110,128,FALSE)</f>
        <v>54</v>
      </c>
      <c r="E199" s="124">
        <f>VLOOKUP($A20,'Template IF 2'!$B$3:$HI$110,129,FALSE)</f>
        <v>3</v>
      </c>
      <c r="F199" s="124">
        <f>VLOOKUP($A20,'Template IF 2'!$B$3:$HI$110,130,FALSE)</f>
        <v>12</v>
      </c>
      <c r="G199" s="60"/>
      <c r="H199" s="124">
        <f>VLOOKUP($A20,'Template IF 2'!$B$3:$HI$110,131,FALSE)</f>
        <v>15</v>
      </c>
      <c r="I199" s="124">
        <f>VLOOKUP($A20,'Template IF 2'!$B$3:$HI$110,132,FALSE)</f>
        <v>9</v>
      </c>
      <c r="J199" s="124">
        <f>VLOOKUP($A20,'Template IF 2'!$B$3:$HI$110,133,FALSE)</f>
        <v>16</v>
      </c>
      <c r="K199" s="124">
        <f>VLOOKUP($A20,'Template IF 2'!$B$3:$HI$110,134,FALSE)</f>
        <v>11</v>
      </c>
      <c r="L199" s="60"/>
      <c r="N199"/>
      <c r="O199"/>
      <c r="P199"/>
      <c r="Q199"/>
      <c r="S199"/>
      <c r="T199"/>
      <c r="U199"/>
      <c r="V199"/>
      <c r="W199"/>
      <c r="X199"/>
      <c r="Y199"/>
      <c r="Z199"/>
      <c r="AA199"/>
      <c r="AB199"/>
      <c r="AC199"/>
      <c r="AD199"/>
      <c r="AE199"/>
      <c r="AF199"/>
    </row>
    <row r="200" spans="1:32" ht="14.1" customHeight="1" x14ac:dyDescent="0.2">
      <c r="A200" s="64" t="str">
        <f>A22</f>
        <v>Beltrami County</v>
      </c>
      <c r="B200" s="124">
        <f>VLOOKUP($A22,'Template IF 2'!$B$3:$HI$110,126,FALSE)</f>
        <v>367</v>
      </c>
      <c r="C200" s="124">
        <f>VLOOKUP($A22,'Template IF 2'!$B$3:$HI$110,127,FALSE)</f>
        <v>13</v>
      </c>
      <c r="D200" s="124">
        <f>VLOOKUP($A22,'Template IF 2'!$B$3:$HI$110,128,FALSE)</f>
        <v>264</v>
      </c>
      <c r="E200" s="124">
        <f>VLOOKUP($A22,'Template IF 2'!$B$3:$HI$110,129,FALSE)</f>
        <v>4</v>
      </c>
      <c r="F200" s="124">
        <f>VLOOKUP($A22,'Template IF 2'!$B$3:$HI$110,130,FALSE)</f>
        <v>11</v>
      </c>
      <c r="G200" s="60"/>
      <c r="H200" s="124">
        <f>VLOOKUP($A22,'Template IF 2'!$B$3:$HI$110,131,FALSE)</f>
        <v>23</v>
      </c>
      <c r="I200" s="124">
        <f>VLOOKUP($A22,'Template IF 2'!$B$3:$HI$110,132,FALSE)</f>
        <v>23</v>
      </c>
      <c r="J200" s="124">
        <f>VLOOKUP($A22,'Template IF 2'!$B$3:$HI$110,133,FALSE)</f>
        <v>35</v>
      </c>
      <c r="K200" s="124">
        <f>VLOOKUP($A22,'Template IF 2'!$B$3:$HI$110,134,FALSE)</f>
        <v>34</v>
      </c>
      <c r="L200" s="60"/>
      <c r="N200"/>
      <c r="O200"/>
      <c r="P200"/>
      <c r="Q200"/>
      <c r="S200"/>
      <c r="T200"/>
      <c r="U200"/>
      <c r="V200"/>
      <c r="W200"/>
      <c r="X200"/>
      <c r="Y200"/>
      <c r="Z200"/>
      <c r="AA200"/>
      <c r="AB200"/>
      <c r="AC200"/>
      <c r="AD200"/>
      <c r="AE200"/>
      <c r="AF200"/>
    </row>
    <row r="201" spans="1:32" ht="14.1" customHeight="1" x14ac:dyDescent="0.2">
      <c r="A201" s="64" t="str">
        <f>A24</f>
        <v>Benton County</v>
      </c>
      <c r="B201" s="124">
        <f>VLOOKUP($A24,'Template IF 2'!$B$3:$HI$110,126,FALSE)</f>
        <v>458</v>
      </c>
      <c r="C201" s="124">
        <f>VLOOKUP($A24,'Template IF 2'!$B$3:$HI$110,127,FALSE)</f>
        <v>41</v>
      </c>
      <c r="D201" s="124">
        <f>VLOOKUP($A24,'Template IF 2'!$B$3:$HI$110,128,FALSE)</f>
        <v>7</v>
      </c>
      <c r="E201" s="124">
        <f>VLOOKUP($A24,'Template IF 2'!$B$3:$HI$110,129,FALSE)</f>
        <v>7</v>
      </c>
      <c r="F201" s="124">
        <f>VLOOKUP($A24,'Template IF 2'!$B$3:$HI$110,130,FALSE)</f>
        <v>15</v>
      </c>
      <c r="G201" s="60"/>
      <c r="H201" s="124">
        <f>VLOOKUP($A24,'Template IF 2'!$B$3:$HI$110,131,FALSE)</f>
        <v>16</v>
      </c>
      <c r="I201" s="124">
        <f>VLOOKUP($A24,'Template IF 2'!$B$3:$HI$110,132,FALSE)</f>
        <v>23</v>
      </c>
      <c r="J201" s="124">
        <f>VLOOKUP($A24,'Template IF 2'!$B$3:$HI$110,133,FALSE)</f>
        <v>11</v>
      </c>
      <c r="K201" s="124">
        <f>VLOOKUP($A24,'Template IF 2'!$B$3:$HI$110,134,FALSE)</f>
        <v>14</v>
      </c>
      <c r="L201" s="60"/>
      <c r="N201"/>
      <c r="O201"/>
      <c r="P201"/>
      <c r="Q201"/>
      <c r="S201"/>
      <c r="T201"/>
      <c r="U201"/>
      <c r="V201"/>
      <c r="W201"/>
      <c r="X201"/>
      <c r="Y201"/>
      <c r="Z201"/>
      <c r="AA201"/>
      <c r="AB201"/>
      <c r="AC201"/>
      <c r="AD201"/>
      <c r="AE201"/>
      <c r="AF201"/>
    </row>
    <row r="202" spans="1:32" ht="14.1" customHeight="1" x14ac:dyDescent="0.2">
      <c r="A202" s="53" t="str">
        <f>A26</f>
        <v>Big Stone County</v>
      </c>
      <c r="B202" s="125">
        <f>VLOOKUP($A26,'Template IF 2'!$B$3:$HI$110,126,FALSE)</f>
        <v>60</v>
      </c>
      <c r="C202" s="125">
        <f>VLOOKUP($A26,'Template IF 2'!$B$3:$HI$110,127,FALSE)</f>
        <v>0</v>
      </c>
      <c r="D202" s="125">
        <f>VLOOKUP($A26,'Template IF 2'!$B$3:$HI$110,128,FALSE)</f>
        <v>0</v>
      </c>
      <c r="E202" s="125">
        <f>VLOOKUP($A26,'Template IF 2'!$B$3:$HI$110,129,FALSE)</f>
        <v>1</v>
      </c>
      <c r="F202" s="125">
        <f>VLOOKUP($A26,'Template IF 2'!$B$3:$HI$110,130,FALSE)</f>
        <v>3</v>
      </c>
      <c r="G202" s="60"/>
      <c r="H202" s="125">
        <f>VLOOKUP($A26,'Template IF 2'!$B$3:$HI$110,131,FALSE)</f>
        <v>1</v>
      </c>
      <c r="I202" s="125">
        <f>VLOOKUP($A26,'Template IF 2'!$B$3:$HI$110,132,FALSE)</f>
        <v>1</v>
      </c>
      <c r="J202" s="125">
        <f>VLOOKUP($A26,'Template IF 2'!$B$3:$HI$110,133,FALSE)</f>
        <v>2</v>
      </c>
      <c r="K202" s="125">
        <f>VLOOKUP($A26,'Template IF 2'!$B$3:$HI$110,134,FALSE)</f>
        <v>3</v>
      </c>
      <c r="L202" s="60"/>
      <c r="N202"/>
      <c r="O202"/>
      <c r="P202"/>
      <c r="Q202"/>
      <c r="S202"/>
      <c r="T202"/>
      <c r="U202"/>
      <c r="V202"/>
      <c r="W202"/>
      <c r="X202"/>
      <c r="Y202"/>
      <c r="Z202"/>
      <c r="AA202"/>
      <c r="AB202"/>
      <c r="AC202"/>
      <c r="AD202"/>
      <c r="AE202"/>
      <c r="AF202"/>
    </row>
    <row r="203" spans="1:32" x14ac:dyDescent="0.2">
      <c r="A203" s="52" t="s">
        <v>161</v>
      </c>
      <c r="B203" s="57"/>
      <c r="C203" s="57"/>
      <c r="D203" s="57"/>
      <c r="E203" s="57"/>
      <c r="F203" s="57"/>
      <c r="G203" s="54"/>
      <c r="H203" s="74" t="s">
        <v>156</v>
      </c>
      <c r="I203" s="54"/>
      <c r="J203" s="54"/>
      <c r="K203" s="54"/>
      <c r="L203" s="54"/>
      <c r="N203"/>
      <c r="O203"/>
      <c r="P203"/>
      <c r="Q203"/>
      <c r="S203"/>
      <c r="T203"/>
      <c r="U203"/>
      <c r="V203"/>
      <c r="W203"/>
      <c r="X203"/>
      <c r="Y203"/>
      <c r="Z203"/>
      <c r="AA203"/>
      <c r="AB203"/>
      <c r="AC203"/>
      <c r="AD203"/>
      <c r="AE203"/>
      <c r="AF203"/>
    </row>
    <row r="204" spans="1:32" ht="14.25" x14ac:dyDescent="0.2">
      <c r="A204" s="267" t="s">
        <v>456</v>
      </c>
      <c r="B204" s="267"/>
      <c r="C204" s="267"/>
      <c r="D204" s="267"/>
      <c r="E204" s="267"/>
      <c r="F204" s="267"/>
      <c r="G204" s="267"/>
      <c r="H204" s="267"/>
      <c r="I204" s="267"/>
      <c r="J204" s="267"/>
      <c r="K204" s="267"/>
      <c r="L204" s="267"/>
      <c r="N204"/>
      <c r="O204"/>
      <c r="P204"/>
      <c r="Q204"/>
      <c r="S204"/>
      <c r="T204"/>
      <c r="U204"/>
      <c r="V204"/>
      <c r="W204"/>
      <c r="X204"/>
      <c r="Y204"/>
      <c r="Z204"/>
      <c r="AA204"/>
      <c r="AB204"/>
      <c r="AC204"/>
      <c r="AD204"/>
      <c r="AE204"/>
      <c r="AF204"/>
    </row>
    <row r="205" spans="1:32" x14ac:dyDescent="0.2">
      <c r="A205" s="52"/>
      <c r="B205" s="54"/>
      <c r="C205" s="54"/>
      <c r="D205" s="54"/>
      <c r="E205" s="54"/>
      <c r="F205" s="54"/>
      <c r="G205" s="54"/>
      <c r="H205" s="54"/>
      <c r="I205" s="54"/>
      <c r="J205" s="54"/>
      <c r="K205" s="54"/>
      <c r="L205" s="54"/>
      <c r="N205"/>
      <c r="O205"/>
      <c r="P205"/>
      <c r="Q205"/>
      <c r="S205"/>
      <c r="T205"/>
      <c r="U205"/>
      <c r="V205"/>
      <c r="W205"/>
      <c r="X205"/>
      <c r="Y205"/>
      <c r="Z205"/>
      <c r="AA205"/>
      <c r="AB205"/>
      <c r="AC205"/>
      <c r="AD205"/>
      <c r="AE205"/>
      <c r="AF205"/>
    </row>
    <row r="206" spans="1:32" x14ac:dyDescent="0.2">
      <c r="A206" s="64"/>
      <c r="B206" s="261" t="s">
        <v>11</v>
      </c>
      <c r="C206" s="261"/>
      <c r="D206" s="261"/>
      <c r="E206" s="261"/>
      <c r="F206" s="83"/>
      <c r="G206" s="54"/>
      <c r="H206" s="261" t="s">
        <v>517</v>
      </c>
      <c r="I206" s="261"/>
      <c r="J206" s="261"/>
      <c r="K206" s="261"/>
      <c r="L206" s="261"/>
      <c r="N206"/>
      <c r="O206"/>
      <c r="P206"/>
      <c r="Q206"/>
      <c r="S206"/>
      <c r="T206"/>
      <c r="U206"/>
      <c r="V206"/>
      <c r="W206"/>
      <c r="X206"/>
      <c r="Y206"/>
      <c r="Z206"/>
      <c r="AA206"/>
      <c r="AB206"/>
      <c r="AC206"/>
      <c r="AD206"/>
      <c r="AE206"/>
      <c r="AF206"/>
    </row>
    <row r="207" spans="1:32" ht="24" x14ac:dyDescent="0.2">
      <c r="A207" s="53"/>
      <c r="B207" s="84" t="s">
        <v>498</v>
      </c>
      <c r="C207" s="84" t="s">
        <v>499</v>
      </c>
      <c r="D207" s="84" t="s">
        <v>500</v>
      </c>
      <c r="E207" s="84" t="s">
        <v>501</v>
      </c>
      <c r="F207" s="56"/>
      <c r="G207" s="55"/>
      <c r="H207" s="56" t="s">
        <v>25</v>
      </c>
      <c r="I207" s="56" t="s">
        <v>37</v>
      </c>
      <c r="J207" s="56" t="s">
        <v>34</v>
      </c>
      <c r="K207" s="56" t="s">
        <v>28</v>
      </c>
      <c r="L207" s="56" t="s">
        <v>47</v>
      </c>
      <c r="N207"/>
      <c r="O207"/>
      <c r="P207"/>
      <c r="Q207"/>
      <c r="S207"/>
      <c r="T207"/>
      <c r="U207"/>
      <c r="V207"/>
      <c r="W207"/>
      <c r="X207"/>
      <c r="Y207"/>
      <c r="Z207"/>
      <c r="AA207"/>
      <c r="AB207"/>
      <c r="AC207"/>
      <c r="AD207"/>
      <c r="AE207"/>
      <c r="AF207"/>
    </row>
    <row r="208" spans="1:32" ht="14.1" customHeight="1" x14ac:dyDescent="0.2">
      <c r="A208" s="64" t="s">
        <v>22</v>
      </c>
      <c r="B208" s="124">
        <f>'Template IF 2'!EF3</f>
        <v>189149</v>
      </c>
      <c r="C208" s="124">
        <f>'Template IF 2'!EG3</f>
        <v>186143</v>
      </c>
      <c r="D208" s="124">
        <f>'Template IF 2'!EH3</f>
        <v>194887</v>
      </c>
      <c r="E208" s="124">
        <f>'Template IF 2'!EI3</f>
        <v>212279</v>
      </c>
      <c r="F208" s="60"/>
      <c r="G208" s="60"/>
      <c r="H208" s="124">
        <f>'Template IF 2'!EJ3</f>
        <v>41035</v>
      </c>
      <c r="I208" s="124">
        <f>'Template IF 2'!EK3</f>
        <v>1444</v>
      </c>
      <c r="J208" s="124">
        <f>'Template IF 2'!EL3</f>
        <v>652</v>
      </c>
      <c r="K208" s="124">
        <f>'Template IF 2'!EM3</f>
        <v>757</v>
      </c>
      <c r="L208" s="124">
        <f>'Template IF 2'!EN3</f>
        <v>403</v>
      </c>
      <c r="N208"/>
      <c r="O208"/>
      <c r="P208"/>
      <c r="Q208"/>
      <c r="S208"/>
      <c r="T208"/>
      <c r="U208"/>
      <c r="V208"/>
      <c r="W208"/>
      <c r="X208"/>
      <c r="Y208"/>
      <c r="Z208"/>
      <c r="AA208"/>
      <c r="AB208"/>
      <c r="AC208"/>
      <c r="AD208"/>
      <c r="AE208"/>
      <c r="AF208"/>
    </row>
    <row r="209" spans="1:32" ht="14.1" customHeight="1" x14ac:dyDescent="0.2">
      <c r="A209" s="64" t="str">
        <f>A16</f>
        <v>Aitkin, Itasca, Koochiching</v>
      </c>
      <c r="B209" s="124">
        <f>VLOOKUP($A16,'Template IF 2'!$B$3:$HI$110,135,FALSE)</f>
        <v>4005</v>
      </c>
      <c r="C209" s="124">
        <f>VLOOKUP($A16,'Template IF 2'!$B$3:$HI$110,136,FALSE)</f>
        <v>3966</v>
      </c>
      <c r="D209" s="124">
        <f>VLOOKUP($A16,'Template IF 2'!$B$3:$HI$110,137,FALSE)</f>
        <v>4243</v>
      </c>
      <c r="E209" s="124">
        <f>VLOOKUP($A16,'Template IF 2'!$B$3:$HI$110,138,FALSE)</f>
        <v>4461</v>
      </c>
      <c r="F209" s="60"/>
      <c r="G209" s="60"/>
      <c r="H209" s="124">
        <f>VLOOKUP($A16,'Template IF 2'!$B$3:$HI$110,139,FALSE)</f>
        <v>811</v>
      </c>
      <c r="I209" s="124">
        <f>VLOOKUP($A16,'Template IF 2'!$B$3:$HI$110,140,FALSE)</f>
        <v>2</v>
      </c>
      <c r="J209" s="124">
        <f>VLOOKUP($A16,'Template IF 2'!$B$3:$HI$110,141,FALSE)</f>
        <v>26</v>
      </c>
      <c r="K209" s="124">
        <f>VLOOKUP($A16,'Template IF 2'!$B$3:$HI$110,142,FALSE)</f>
        <v>2</v>
      </c>
      <c r="L209" s="124">
        <f>VLOOKUP($A16,'Template IF 2'!$B$3:$HI$110,143,FALSE)</f>
        <v>1</v>
      </c>
      <c r="N209"/>
      <c r="O209"/>
      <c r="P209"/>
      <c r="Q209"/>
      <c r="S209"/>
      <c r="T209"/>
      <c r="U209"/>
      <c r="V209"/>
      <c r="W209"/>
      <c r="X209"/>
      <c r="Y209"/>
      <c r="Z209"/>
      <c r="AA209"/>
      <c r="AB209"/>
      <c r="AC209"/>
      <c r="AD209"/>
      <c r="AE209"/>
      <c r="AF209"/>
    </row>
    <row r="210" spans="1:32" ht="14.1" customHeight="1" x14ac:dyDescent="0.2">
      <c r="A210" s="64" t="str">
        <f>A18</f>
        <v>Anoka County</v>
      </c>
      <c r="B210" s="124">
        <f>VLOOKUP($A18,'Template IF 2'!$B$3:$HI$110,135,FALSE)</f>
        <v>6869</v>
      </c>
      <c r="C210" s="124">
        <f>VLOOKUP($A18,'Template IF 2'!$B$3:$HI$110,136,FALSE)</f>
        <v>7170</v>
      </c>
      <c r="D210" s="124">
        <f>VLOOKUP($A18,'Template IF 2'!$B$3:$HI$110,137,FALSE)</f>
        <v>8420</v>
      </c>
      <c r="E210" s="124">
        <f>VLOOKUP($A18,'Template IF 2'!$B$3:$HI$110,138,FALSE)</f>
        <v>10212</v>
      </c>
      <c r="F210" s="60"/>
      <c r="G210" s="60"/>
      <c r="H210" s="124">
        <f>VLOOKUP($A18,'Template IF 2'!$B$3:$HI$110,139,FALSE)</f>
        <v>2111</v>
      </c>
      <c r="I210" s="124">
        <f>VLOOKUP($A18,'Template IF 2'!$B$3:$HI$110,140,FALSE)</f>
        <v>66</v>
      </c>
      <c r="J210" s="124">
        <f>VLOOKUP($A18,'Template IF 2'!$B$3:$HI$110,141,FALSE)</f>
        <v>17</v>
      </c>
      <c r="K210" s="124">
        <f>VLOOKUP($A18,'Template IF 2'!$B$3:$HI$110,142,FALSE)</f>
        <v>44</v>
      </c>
      <c r="L210" s="124">
        <f>VLOOKUP($A18,'Template IF 2'!$B$3:$HI$110,143,FALSE)</f>
        <v>18</v>
      </c>
      <c r="N210"/>
      <c r="O210"/>
      <c r="P210"/>
      <c r="Q210"/>
      <c r="S210"/>
      <c r="T210"/>
      <c r="U210"/>
      <c r="V210"/>
      <c r="W210"/>
      <c r="X210"/>
      <c r="Y210"/>
      <c r="Z210"/>
      <c r="AA210"/>
      <c r="AB210"/>
      <c r="AC210"/>
      <c r="AD210"/>
      <c r="AE210"/>
      <c r="AF210"/>
    </row>
    <row r="211" spans="1:32" ht="14.1" customHeight="1" x14ac:dyDescent="0.2">
      <c r="A211" s="64" t="str">
        <f>A20</f>
        <v>Becker County</v>
      </c>
      <c r="B211" s="124">
        <f>VLOOKUP($A20,'Template IF 2'!$B$3:$HI$110,135,FALSE)</f>
        <v>1614</v>
      </c>
      <c r="C211" s="124">
        <f>VLOOKUP($A20,'Template IF 2'!$B$3:$HI$110,136,FALSE)</f>
        <v>1582</v>
      </c>
      <c r="D211" s="124">
        <f>VLOOKUP($A20,'Template IF 2'!$B$3:$HI$110,137,FALSE)</f>
        <v>1695</v>
      </c>
      <c r="E211" s="124">
        <f>VLOOKUP($A20,'Template IF 2'!$B$3:$HI$110,138,FALSE)</f>
        <v>1726</v>
      </c>
      <c r="F211" s="60"/>
      <c r="G211" s="60"/>
      <c r="H211" s="124">
        <f>VLOOKUP($A20,'Template IF 2'!$B$3:$HI$110,139,FALSE)</f>
        <v>336</v>
      </c>
      <c r="I211" s="124">
        <f>VLOOKUP($A20,'Template IF 2'!$B$3:$HI$110,140,FALSE)</f>
        <v>0</v>
      </c>
      <c r="J211" s="124">
        <f>VLOOKUP($A20,'Template IF 2'!$B$3:$HI$110,141,FALSE)</f>
        <v>30</v>
      </c>
      <c r="K211" s="124">
        <f>VLOOKUP($A20,'Template IF 2'!$B$3:$HI$110,142,FALSE)</f>
        <v>0</v>
      </c>
      <c r="L211" s="124">
        <f>VLOOKUP($A20,'Template IF 2'!$B$3:$HI$110,143,FALSE)</f>
        <v>0</v>
      </c>
      <c r="N211"/>
      <c r="O211"/>
      <c r="P211"/>
      <c r="Q211"/>
      <c r="S211"/>
      <c r="T211"/>
      <c r="U211"/>
      <c r="V211"/>
      <c r="W211"/>
      <c r="X211"/>
      <c r="Y211"/>
      <c r="Z211"/>
      <c r="AA211"/>
      <c r="AB211"/>
      <c r="AC211"/>
      <c r="AD211"/>
      <c r="AE211"/>
      <c r="AF211"/>
    </row>
    <row r="212" spans="1:32" ht="14.1" customHeight="1" x14ac:dyDescent="0.2">
      <c r="A212" s="64" t="str">
        <f>A22</f>
        <v>Beltrami County</v>
      </c>
      <c r="B212" s="124">
        <f>VLOOKUP($A22,'Template IF 2'!$B$3:$HI$110,135,FALSE)</f>
        <v>1629</v>
      </c>
      <c r="C212" s="124">
        <f>VLOOKUP($A22,'Template IF 2'!$B$3:$HI$110,136,FALSE)</f>
        <v>1714</v>
      </c>
      <c r="D212" s="124">
        <f>VLOOKUP($A22,'Template IF 2'!$B$3:$HI$110,137,FALSE)</f>
        <v>1847</v>
      </c>
      <c r="E212" s="124">
        <f>VLOOKUP($A22,'Template IF 2'!$B$3:$HI$110,138,FALSE)</f>
        <v>2041</v>
      </c>
      <c r="F212" s="60"/>
      <c r="G212" s="60"/>
      <c r="H212" s="124">
        <f>VLOOKUP($A22,'Template IF 2'!$B$3:$HI$110,139,FALSE)</f>
        <v>326</v>
      </c>
      <c r="I212" s="124">
        <f>VLOOKUP($A22,'Template IF 2'!$B$3:$HI$110,140,FALSE)</f>
        <v>2</v>
      </c>
      <c r="J212" s="124">
        <f>VLOOKUP($A22,'Template IF 2'!$B$3:$HI$110,141,FALSE)</f>
        <v>92</v>
      </c>
      <c r="K212" s="124">
        <f>VLOOKUP($A22,'Template IF 2'!$B$3:$HI$110,142,FALSE)</f>
        <v>0</v>
      </c>
      <c r="L212" s="124">
        <f>VLOOKUP($A22,'Template IF 2'!$B$3:$HI$110,143,FALSE)</f>
        <v>1</v>
      </c>
      <c r="N212"/>
      <c r="O212"/>
      <c r="P212"/>
      <c r="Q212"/>
      <c r="S212"/>
      <c r="T212"/>
      <c r="U212"/>
      <c r="V212"/>
      <c r="W212"/>
      <c r="X212"/>
      <c r="Y212"/>
      <c r="Z212"/>
      <c r="AA212"/>
      <c r="AB212"/>
      <c r="AC212"/>
      <c r="AD212"/>
      <c r="AE212"/>
      <c r="AF212"/>
    </row>
    <row r="213" spans="1:32" ht="14.1" customHeight="1" x14ac:dyDescent="0.2">
      <c r="A213" s="64" t="str">
        <f>A24</f>
        <v>Benton County</v>
      </c>
      <c r="B213" s="124">
        <f>VLOOKUP($A24,'Template IF 2'!$B$3:$HI$110,135,FALSE)</f>
        <v>1547</v>
      </c>
      <c r="C213" s="124">
        <f>VLOOKUP($A24,'Template IF 2'!$B$3:$HI$110,136,FALSE)</f>
        <v>1568</v>
      </c>
      <c r="D213" s="124">
        <f>VLOOKUP($A24,'Template IF 2'!$B$3:$HI$110,137,FALSE)</f>
        <v>1544</v>
      </c>
      <c r="E213" s="124">
        <f>VLOOKUP($A24,'Template IF 2'!$B$3:$HI$110,138,FALSE)</f>
        <v>1744</v>
      </c>
      <c r="F213" s="60"/>
      <c r="G213" s="60"/>
      <c r="H213" s="124">
        <f>VLOOKUP($A24,'Template IF 2'!$B$3:$HI$110,139,FALSE)</f>
        <v>361</v>
      </c>
      <c r="I213" s="124">
        <f>VLOOKUP($A24,'Template IF 2'!$B$3:$HI$110,140,FALSE)</f>
        <v>2</v>
      </c>
      <c r="J213" s="124">
        <f>VLOOKUP($A24,'Template IF 2'!$B$3:$HI$110,141,FALSE)</f>
        <v>3</v>
      </c>
      <c r="K213" s="124">
        <f>VLOOKUP($A24,'Template IF 2'!$B$3:$HI$110,142,FALSE)</f>
        <v>1</v>
      </c>
      <c r="L213" s="124">
        <f>VLOOKUP($A24,'Template IF 2'!$B$3:$HI$110,143,FALSE)</f>
        <v>0</v>
      </c>
      <c r="N213"/>
      <c r="O213"/>
      <c r="P213"/>
      <c r="Q213"/>
      <c r="S213"/>
      <c r="T213"/>
      <c r="U213"/>
      <c r="V213"/>
      <c r="W213"/>
      <c r="X213"/>
      <c r="Y213"/>
      <c r="Z213"/>
      <c r="AA213"/>
      <c r="AB213"/>
      <c r="AC213"/>
      <c r="AD213"/>
      <c r="AE213"/>
      <c r="AF213"/>
    </row>
    <row r="214" spans="1:32" ht="14.1" customHeight="1" x14ac:dyDescent="0.2">
      <c r="A214" s="53" t="str">
        <f>A26</f>
        <v>Big Stone County</v>
      </c>
      <c r="B214" s="125">
        <f>VLOOKUP($A26,'Template IF 2'!$B$3:$HI$110,135,FALSE)</f>
        <v>465</v>
      </c>
      <c r="C214" s="125">
        <f>VLOOKUP($A26,'Template IF 2'!$B$3:$HI$110,136,FALSE)</f>
        <v>403</v>
      </c>
      <c r="D214" s="125">
        <f>VLOOKUP($A26,'Template IF 2'!$B$3:$HI$110,137,FALSE)</f>
        <v>400</v>
      </c>
      <c r="E214" s="125">
        <f>VLOOKUP($A26,'Template IF 2'!$B$3:$HI$110,138,FALSE)</f>
        <v>375</v>
      </c>
      <c r="F214" s="71"/>
      <c r="G214" s="71"/>
      <c r="H214" s="125">
        <f>VLOOKUP($A26,'Template IF 2'!$B$3:$HI$110,139,FALSE)</f>
        <v>79</v>
      </c>
      <c r="I214" s="125">
        <f>VLOOKUP($A26,'Template IF 2'!$B$3:$HI$110,140,FALSE)</f>
        <v>0</v>
      </c>
      <c r="J214" s="125">
        <f>VLOOKUP($A26,'Template IF 2'!$B$3:$HI$110,141,FALSE)</f>
        <v>2</v>
      </c>
      <c r="K214" s="125">
        <f>VLOOKUP($A26,'Template IF 2'!$B$3:$HI$110,142,FALSE)</f>
        <v>0</v>
      </c>
      <c r="L214" s="125">
        <f>VLOOKUP($A26,'Template IF 2'!$B$3:$HI$110,143,FALSE)</f>
        <v>0</v>
      </c>
      <c r="N214"/>
      <c r="O214"/>
      <c r="P214"/>
      <c r="Q214"/>
      <c r="S214"/>
      <c r="T214"/>
      <c r="U214"/>
      <c r="V214"/>
      <c r="W214"/>
      <c r="X214"/>
      <c r="Y214"/>
      <c r="Z214"/>
      <c r="AA214"/>
      <c r="AB214"/>
      <c r="AC214"/>
      <c r="AD214"/>
      <c r="AE214"/>
      <c r="AF214"/>
    </row>
    <row r="215" spans="1:32" x14ac:dyDescent="0.2">
      <c r="A215" s="64"/>
      <c r="B215" s="89"/>
      <c r="C215" s="89"/>
      <c r="D215" s="90"/>
      <c r="E215" s="90"/>
      <c r="F215" s="89"/>
      <c r="G215" s="54"/>
      <c r="H215" s="69"/>
      <c r="I215" s="69"/>
      <c r="J215" s="69"/>
      <c r="K215" s="69"/>
      <c r="L215" s="69"/>
      <c r="N215"/>
      <c r="O215"/>
      <c r="P215"/>
      <c r="Q215"/>
      <c r="S215"/>
      <c r="T215"/>
      <c r="U215"/>
      <c r="V215"/>
      <c r="W215"/>
      <c r="X215"/>
      <c r="Y215"/>
      <c r="Z215"/>
      <c r="AA215"/>
      <c r="AB215"/>
      <c r="AC215"/>
      <c r="AD215"/>
      <c r="AE215"/>
      <c r="AF215"/>
    </row>
    <row r="216" spans="1:32" x14ac:dyDescent="0.2">
      <c r="A216" s="64"/>
      <c r="B216" s="67"/>
      <c r="C216" s="67"/>
      <c r="D216" s="67"/>
      <c r="E216" s="67"/>
      <c r="F216" s="27"/>
      <c r="G216" s="54"/>
      <c r="H216" s="54"/>
      <c r="I216" s="54"/>
      <c r="J216" s="54"/>
      <c r="K216" s="54"/>
      <c r="L216" s="54"/>
      <c r="N216"/>
      <c r="O216"/>
      <c r="P216"/>
      <c r="Q216"/>
      <c r="S216"/>
      <c r="T216"/>
      <c r="U216"/>
      <c r="V216"/>
      <c r="W216"/>
      <c r="X216"/>
      <c r="Y216"/>
      <c r="Z216"/>
      <c r="AA216"/>
      <c r="AB216"/>
      <c r="AC216"/>
      <c r="AD216"/>
      <c r="AE216"/>
      <c r="AF216"/>
    </row>
    <row r="217" spans="1:32" x14ac:dyDescent="0.2">
      <c r="A217" s="64"/>
      <c r="B217" s="261" t="s">
        <v>143</v>
      </c>
      <c r="C217" s="261"/>
      <c r="D217" s="261"/>
      <c r="E217" s="261"/>
      <c r="F217" s="83"/>
      <c r="G217" s="54"/>
      <c r="H217" s="261" t="s">
        <v>45</v>
      </c>
      <c r="I217" s="261"/>
      <c r="J217" s="261"/>
      <c r="K217" s="261"/>
      <c r="L217" s="83"/>
      <c r="O217"/>
      <c r="P217"/>
      <c r="Q217"/>
      <c r="S217"/>
      <c r="T217"/>
      <c r="U217"/>
      <c r="V217"/>
      <c r="W217"/>
      <c r="X217"/>
      <c r="Y217"/>
      <c r="Z217"/>
      <c r="AA217"/>
      <c r="AB217"/>
      <c r="AC217"/>
      <c r="AD217"/>
      <c r="AE217"/>
      <c r="AF217"/>
    </row>
    <row r="218" spans="1:32" x14ac:dyDescent="0.2">
      <c r="A218" s="53"/>
      <c r="B218" s="84" t="s">
        <v>498</v>
      </c>
      <c r="C218" s="84" t="s">
        <v>499</v>
      </c>
      <c r="D218" s="84" t="s">
        <v>500</v>
      </c>
      <c r="E218" s="84" t="s">
        <v>501</v>
      </c>
      <c r="F218" s="55"/>
      <c r="G218" s="55"/>
      <c r="H218" s="84" t="s">
        <v>498</v>
      </c>
      <c r="I218" s="84" t="s">
        <v>499</v>
      </c>
      <c r="J218" s="84" t="s">
        <v>500</v>
      </c>
      <c r="K218" s="84" t="s">
        <v>501</v>
      </c>
      <c r="L218" s="60"/>
      <c r="O218"/>
      <c r="P218"/>
      <c r="Q218"/>
      <c r="S218"/>
      <c r="T218"/>
      <c r="U218"/>
      <c r="V218"/>
      <c r="W218"/>
      <c r="X218"/>
      <c r="Y218"/>
      <c r="Z218"/>
      <c r="AA218"/>
      <c r="AB218"/>
      <c r="AC218"/>
      <c r="AD218"/>
      <c r="AE218"/>
      <c r="AF218"/>
    </row>
    <row r="219" spans="1:32" ht="14.1" customHeight="1" x14ac:dyDescent="0.2">
      <c r="A219" s="64" t="s">
        <v>22</v>
      </c>
      <c r="B219" s="139">
        <f>'Template IF 2'!EO3</f>
        <v>768.97980456873586</v>
      </c>
      <c r="C219" s="140">
        <f>'Template IF 2'!EP3</f>
        <v>725.30796549796707</v>
      </c>
      <c r="D219" s="140">
        <f>'Template IF 2'!EQ3</f>
        <v>734.87841551303984</v>
      </c>
      <c r="E219" s="140">
        <f>'Template IF 2'!ER3</f>
        <v>773.51804158923221</v>
      </c>
      <c r="F219" s="60"/>
      <c r="G219" s="60"/>
      <c r="H219" s="80">
        <f>'Template IF 2'!ES3</f>
        <v>763.77200000000005</v>
      </c>
      <c r="I219" s="80">
        <f>'Template IF 2'!ET3</f>
        <v>678.8</v>
      </c>
      <c r="J219" s="80">
        <f>'Template IF 2'!EU3</f>
        <v>662.13199999999995</v>
      </c>
      <c r="K219" s="80">
        <f>'Template IF 2'!EV3</f>
        <v>650.25699999999995</v>
      </c>
      <c r="L219" s="60"/>
      <c r="O219"/>
      <c r="P219"/>
      <c r="Q219"/>
      <c r="S219"/>
      <c r="T219"/>
      <c r="U219"/>
      <c r="V219"/>
      <c r="W219"/>
      <c r="X219"/>
      <c r="Y219"/>
      <c r="Z219"/>
      <c r="AA219"/>
      <c r="AB219"/>
      <c r="AC219"/>
      <c r="AD219"/>
      <c r="AE219"/>
      <c r="AF219"/>
    </row>
    <row r="220" spans="1:32" ht="14.1" customHeight="1" x14ac:dyDescent="0.2">
      <c r="A220" s="64" t="str">
        <f>A16</f>
        <v>Aitkin, Itasca, Koochiching</v>
      </c>
      <c r="B220" s="141">
        <f>VLOOKUP($A16,'Template IF 2'!$B$3:$HI$110,144,FALSE)</f>
        <v>1087.6059091896589</v>
      </c>
      <c r="C220" s="140">
        <f>VLOOKUP($A16,'Template IF 2'!$B$3:$HI$110,145,FALSE)</f>
        <v>1065.1984153629221</v>
      </c>
      <c r="D220" s="140">
        <f>VLOOKUP($A16,'Template IF 2'!$B$3:$HI$110,146,FALSE)</f>
        <v>1137.9758887503183</v>
      </c>
      <c r="E220" s="140">
        <f>VLOOKUP($A16,'Template IF 2'!$B$3:$HI$110,147,FALSE)</f>
        <v>1206.03422639163</v>
      </c>
      <c r="F220" s="60"/>
      <c r="G220" s="60"/>
      <c r="H220" s="80">
        <f>VLOOKUP($A16,'Template IF 2'!$B$3:$HI$110,148,FALSE)</f>
        <v>803.32100000000003</v>
      </c>
      <c r="I220" s="80">
        <f>VLOOKUP($A16,'Template IF 2'!$B$3:$HI$110,149,FALSE)</f>
        <v>715.84699999999998</v>
      </c>
      <c r="J220" s="80">
        <f>VLOOKUP($A16,'Template IF 2'!$B$3:$HI$110,150,FALSE)</f>
        <v>732.82600000000002</v>
      </c>
      <c r="K220" s="80">
        <f>VLOOKUP($A16,'Template IF 2'!$B$3:$HI$110,151,FALSE)</f>
        <v>737.34699999999998</v>
      </c>
      <c r="L220" s="60"/>
      <c r="O220"/>
      <c r="P220"/>
      <c r="Q220"/>
      <c r="S220"/>
      <c r="T220"/>
      <c r="U220"/>
      <c r="V220"/>
      <c r="W220"/>
      <c r="X220"/>
      <c r="Y220"/>
      <c r="Z220"/>
      <c r="AA220"/>
      <c r="AB220"/>
      <c r="AC220"/>
      <c r="AD220"/>
      <c r="AE220"/>
      <c r="AF220"/>
    </row>
    <row r="221" spans="1:32" ht="14.1" customHeight="1" x14ac:dyDescent="0.2">
      <c r="A221" s="64" t="str">
        <f>A18</f>
        <v>Anoka County</v>
      </c>
      <c r="B221" s="141">
        <f>VLOOKUP($A18,'Template IF 2'!$B$3:$HI$110,144,FALSE)</f>
        <v>460.87700000000001</v>
      </c>
      <c r="C221" s="140">
        <f>VLOOKUP($A18,'Template IF 2'!$B$3:$HI$110,145,FALSE)</f>
        <v>442.59800000000001</v>
      </c>
      <c r="D221" s="140">
        <f>VLOOKUP($A18,'Template IF 2'!$B$3:$HI$110,146,FALSE)</f>
        <v>509.00099999999998</v>
      </c>
      <c r="E221" s="140">
        <f>VLOOKUP($A18,'Template IF 2'!$B$3:$HI$110,147,FALSE)</f>
        <v>593.46</v>
      </c>
      <c r="F221" s="60"/>
      <c r="G221" s="60"/>
      <c r="H221" s="80">
        <f>VLOOKUP($A18,'Template IF 2'!$B$3:$HI$110,148,FALSE)</f>
        <v>780.76400000000001</v>
      </c>
      <c r="I221" s="80">
        <f>VLOOKUP($A18,'Template IF 2'!$B$3:$HI$110,149,FALSE)</f>
        <v>629.37699999999995</v>
      </c>
      <c r="J221" s="80">
        <f>VLOOKUP($A18,'Template IF 2'!$B$3:$HI$110,150,FALSE)</f>
        <v>646.51099999999997</v>
      </c>
      <c r="K221" s="80">
        <f>VLOOKUP($A18,'Template IF 2'!$B$3:$HI$110,151,FALSE)</f>
        <v>630.90899999999999</v>
      </c>
      <c r="L221" s="60"/>
      <c r="O221"/>
      <c r="P221"/>
      <c r="Q221"/>
      <c r="S221"/>
      <c r="T221"/>
      <c r="U221"/>
      <c r="V221"/>
      <c r="W221"/>
      <c r="X221"/>
      <c r="Y221"/>
      <c r="Z221"/>
      <c r="AA221"/>
      <c r="AB221"/>
      <c r="AC221"/>
      <c r="AD221"/>
      <c r="AE221"/>
      <c r="AF221"/>
    </row>
    <row r="222" spans="1:32" ht="14.1" customHeight="1" x14ac:dyDescent="0.2">
      <c r="A222" s="64" t="str">
        <f>A20</f>
        <v>Becker County</v>
      </c>
      <c r="B222" s="141">
        <f>VLOOKUP($A20,'Template IF 2'!$B$3:$HI$110,144,FALSE)</f>
        <v>1076</v>
      </c>
      <c r="C222" s="140">
        <f>VLOOKUP($A20,'Template IF 2'!$B$3:$HI$110,145,FALSE)</f>
        <v>992.84500000000003</v>
      </c>
      <c r="D222" s="140">
        <f>VLOOKUP($A20,'Template IF 2'!$B$3:$HI$110,146,FALSE)</f>
        <v>1042.9490000000001</v>
      </c>
      <c r="E222" s="140">
        <f>VLOOKUP($A20,'Template IF 2'!$B$3:$HI$110,147,FALSE)</f>
        <v>1033.9659999999999</v>
      </c>
      <c r="F222" s="60"/>
      <c r="G222" s="60"/>
      <c r="H222" s="80">
        <f>VLOOKUP($A20,'Template IF 2'!$B$3:$HI$110,148,FALSE)</f>
        <v>847.18100000000004</v>
      </c>
      <c r="I222" s="80">
        <f>VLOOKUP($A20,'Template IF 2'!$B$3:$HI$110,149,FALSE)</f>
        <v>778.16700000000003</v>
      </c>
      <c r="J222" s="80">
        <f>VLOOKUP($A20,'Template IF 2'!$B$3:$HI$110,150,FALSE)</f>
        <v>776.27300000000002</v>
      </c>
      <c r="K222" s="80">
        <f>VLOOKUP($A20,'Template IF 2'!$B$3:$HI$110,151,FALSE)</f>
        <v>739.40899999999999</v>
      </c>
      <c r="L222" s="60"/>
      <c r="O222"/>
      <c r="P222"/>
      <c r="Q222"/>
      <c r="S222"/>
      <c r="T222"/>
      <c r="U222"/>
      <c r="V222"/>
      <c r="W222"/>
      <c r="X222"/>
      <c r="Y222"/>
      <c r="Z222"/>
      <c r="AA222"/>
      <c r="AB222"/>
      <c r="AC222"/>
      <c r="AD222"/>
      <c r="AE222"/>
      <c r="AF222"/>
    </row>
    <row r="223" spans="1:32" ht="14.1" customHeight="1" x14ac:dyDescent="0.2">
      <c r="A223" s="64" t="str">
        <f>A22</f>
        <v>Beltrami County</v>
      </c>
      <c r="B223" s="141">
        <f>VLOOKUP($A22,'Template IF 2'!$B$3:$HI$110,144,FALSE)</f>
        <v>821.69</v>
      </c>
      <c r="C223" s="140">
        <f>VLOOKUP($A22,'Template IF 2'!$B$3:$HI$110,145,FALSE)</f>
        <v>799.60799999999995</v>
      </c>
      <c r="D223" s="140">
        <f>VLOOKUP($A22,'Template IF 2'!$B$3:$HI$110,146,FALSE)</f>
        <v>831.19600000000003</v>
      </c>
      <c r="E223" s="140">
        <f>VLOOKUP($A22,'Template IF 2'!$B$3:$HI$110,147,FALSE)</f>
        <v>893.76400000000001</v>
      </c>
      <c r="F223" s="60"/>
      <c r="G223" s="60"/>
      <c r="H223" s="80">
        <f>VLOOKUP($A22,'Template IF 2'!$B$3:$HI$110,148,FALSE)</f>
        <v>862.23900000000003</v>
      </c>
      <c r="I223" s="80">
        <f>VLOOKUP($A22,'Template IF 2'!$B$3:$HI$110,149,FALSE)</f>
        <v>807.24599999999998</v>
      </c>
      <c r="J223" s="80">
        <f>VLOOKUP($A22,'Template IF 2'!$B$3:$HI$110,150,FALSE)</f>
        <v>771.83900000000006</v>
      </c>
      <c r="K223" s="80">
        <f>VLOOKUP($A22,'Template IF 2'!$B$3:$HI$110,151,FALSE)</f>
        <v>786.66</v>
      </c>
      <c r="L223" s="60"/>
      <c r="O223"/>
      <c r="P223"/>
      <c r="Q223"/>
      <c r="S223"/>
      <c r="T223"/>
      <c r="U223"/>
      <c r="V223"/>
      <c r="W223"/>
      <c r="X223"/>
      <c r="Y223"/>
      <c r="Z223"/>
      <c r="AA223"/>
      <c r="AB223"/>
      <c r="AC223"/>
      <c r="AD223"/>
      <c r="AE223"/>
      <c r="AF223"/>
    </row>
    <row r="224" spans="1:32" ht="14.1" customHeight="1" x14ac:dyDescent="0.2">
      <c r="A224" s="64" t="str">
        <f>A24</f>
        <v>Benton County</v>
      </c>
      <c r="B224" s="141">
        <f>VLOOKUP($A24,'Template IF 2'!$B$3:$HI$110,144,FALSE)</f>
        <v>903.99099999999999</v>
      </c>
      <c r="C224" s="140">
        <f>VLOOKUP($A24,'Template IF 2'!$B$3:$HI$110,145,FALSE)</f>
        <v>814.44</v>
      </c>
      <c r="D224" s="140">
        <f>VLOOKUP($A24,'Template IF 2'!$B$3:$HI$110,146,FALSE)</f>
        <v>803.1</v>
      </c>
      <c r="E224" s="140">
        <f>VLOOKUP($A24,'Template IF 2'!$B$3:$HI$110,147,FALSE)</f>
        <v>878.36800000000005</v>
      </c>
      <c r="F224" s="60"/>
      <c r="G224" s="60"/>
      <c r="H224" s="80">
        <f>VLOOKUP($A24,'Template IF 2'!$B$3:$HI$110,148,FALSE)</f>
        <v>904.42899999999997</v>
      </c>
      <c r="I224" s="80">
        <f>VLOOKUP($A24,'Template IF 2'!$B$3:$HI$110,149,FALSE)</f>
        <v>884.19200000000001</v>
      </c>
      <c r="J224" s="80">
        <f>VLOOKUP($A24,'Template IF 2'!$B$3:$HI$110,150,FALSE)</f>
        <v>724.67899999999997</v>
      </c>
      <c r="K224" s="80">
        <f>VLOOKUP($A24,'Template IF 2'!$B$3:$HI$110,151,FALSE)</f>
        <v>717.94799999999998</v>
      </c>
      <c r="L224" s="60"/>
      <c r="O224"/>
      <c r="P224"/>
      <c r="Q224"/>
      <c r="S224"/>
      <c r="T224"/>
      <c r="U224"/>
      <c r="V224"/>
      <c r="W224"/>
      <c r="X224"/>
      <c r="Y224"/>
      <c r="Z224"/>
      <c r="AA224"/>
      <c r="AB224"/>
      <c r="AC224"/>
      <c r="AD224"/>
      <c r="AE224"/>
      <c r="AF224"/>
    </row>
    <row r="225" spans="1:32" ht="14.1" customHeight="1" x14ac:dyDescent="0.2">
      <c r="A225" s="53" t="str">
        <f>A26</f>
        <v>Big Stone County</v>
      </c>
      <c r="B225" s="142">
        <f>VLOOKUP($A26,'Template IF 2'!$B$3:$HI$110,144,FALSE)</f>
        <v>1597.9380000000001</v>
      </c>
      <c r="C225" s="143">
        <f>VLOOKUP($A26,'Template IF 2'!$B$3:$HI$110,145,FALSE)</f>
        <v>1470.5350000000001</v>
      </c>
      <c r="D225" s="143">
        <f>VLOOKUP($A26,'Template IF 2'!$B$3:$HI$110,146,FALSE)</f>
        <v>1518.3150000000001</v>
      </c>
      <c r="E225" s="143">
        <f>VLOOKUP($A26,'Template IF 2'!$B$3:$HI$110,147,FALSE)</f>
        <v>1488.095</v>
      </c>
      <c r="F225" s="71"/>
      <c r="G225" s="71"/>
      <c r="H225" s="179">
        <f>VLOOKUP($A26,'Template IF 2'!$B$3:$HI$110,148,FALSE)</f>
        <v>854.726</v>
      </c>
      <c r="I225" s="179">
        <f>VLOOKUP($A26,'Template IF 2'!$B$3:$HI$110,149,FALSE)</f>
        <v>766.24300000000005</v>
      </c>
      <c r="J225" s="179">
        <f>VLOOKUP($A26,'Template IF 2'!$B$3:$HI$110,150,FALSE)</f>
        <v>706.79700000000003</v>
      </c>
      <c r="K225" s="179">
        <f>VLOOKUP($A26,'Template IF 2'!$B$3:$HI$110,151,FALSE)</f>
        <v>668.61099999999999</v>
      </c>
      <c r="L225" s="60"/>
      <c r="O225"/>
      <c r="P225"/>
      <c r="Q225"/>
      <c r="S225"/>
      <c r="T225"/>
      <c r="U225"/>
      <c r="V225"/>
      <c r="W225"/>
      <c r="X225"/>
      <c r="Y225"/>
      <c r="Z225"/>
      <c r="AA225"/>
      <c r="AB225"/>
      <c r="AC225"/>
      <c r="AD225"/>
      <c r="AE225"/>
      <c r="AF225"/>
    </row>
    <row r="226" spans="1:32" x14ac:dyDescent="0.2">
      <c r="A226" s="52"/>
      <c r="B226" s="91"/>
      <c r="C226" s="91"/>
      <c r="D226" s="91"/>
      <c r="E226" s="91"/>
      <c r="F226" s="91"/>
      <c r="G226" s="54"/>
      <c r="H226" s="54"/>
      <c r="I226" s="54"/>
      <c r="J226" s="54"/>
      <c r="K226" s="54"/>
      <c r="L226" s="54"/>
      <c r="N226"/>
      <c r="O226"/>
      <c r="P226"/>
      <c r="Q226"/>
      <c r="S226"/>
      <c r="T226"/>
      <c r="U226"/>
      <c r="V226"/>
      <c r="W226"/>
      <c r="X226"/>
      <c r="Y226"/>
      <c r="Z226"/>
      <c r="AA226"/>
      <c r="AB226"/>
      <c r="AC226"/>
      <c r="AD226"/>
      <c r="AE226"/>
      <c r="AF226"/>
    </row>
    <row r="227" spans="1:32" x14ac:dyDescent="0.2">
      <c r="A227" s="64"/>
      <c r="B227" s="261" t="s">
        <v>42</v>
      </c>
      <c r="C227" s="261"/>
      <c r="D227" s="261"/>
      <c r="E227" s="261"/>
      <c r="F227" s="83"/>
      <c r="G227" s="54"/>
      <c r="H227" s="261" t="s">
        <v>43</v>
      </c>
      <c r="I227" s="261"/>
      <c r="J227" s="261"/>
      <c r="K227" s="261"/>
      <c r="L227" s="83"/>
      <c r="N227"/>
      <c r="O227"/>
    </row>
    <row r="228" spans="1:32" x14ac:dyDescent="0.2">
      <c r="A228" s="53"/>
      <c r="B228" s="84" t="s">
        <v>498</v>
      </c>
      <c r="C228" s="84" t="s">
        <v>499</v>
      </c>
      <c r="D228" s="84" t="s">
        <v>500</v>
      </c>
      <c r="E228" s="84" t="s">
        <v>501</v>
      </c>
      <c r="F228" s="55"/>
      <c r="G228" s="55"/>
      <c r="H228" s="84" t="s">
        <v>498</v>
      </c>
      <c r="I228" s="84" t="s">
        <v>499</v>
      </c>
      <c r="J228" s="84" t="s">
        <v>500</v>
      </c>
      <c r="K228" s="84" t="s">
        <v>501</v>
      </c>
      <c r="L228" s="27"/>
      <c r="N228"/>
      <c r="O228"/>
    </row>
    <row r="229" spans="1:32" ht="14.1" customHeight="1" x14ac:dyDescent="0.2">
      <c r="A229" s="64" t="s">
        <v>22</v>
      </c>
      <c r="B229" s="80">
        <f>'Template IF 2'!EW3</f>
        <v>937.82500000000005</v>
      </c>
      <c r="C229" s="80">
        <f>'Template IF 2'!EX3</f>
        <v>816.02800000000002</v>
      </c>
      <c r="D229" s="80">
        <f>'Template IF 2'!EY3</f>
        <v>784.3</v>
      </c>
      <c r="E229" s="80">
        <f>'Template IF 2'!EZ3</f>
        <v>761.74099999999999</v>
      </c>
      <c r="F229" s="185"/>
      <c r="G229" s="185"/>
      <c r="H229" s="80">
        <f>'Template IF 2'!FA3</f>
        <v>638.34699999999998</v>
      </c>
      <c r="I229" s="80">
        <f>'Template IF 2'!FB3</f>
        <v>573.54999999999995</v>
      </c>
      <c r="J229" s="80">
        <f>'Template IF 2'!FC3</f>
        <v>564.96199999999999</v>
      </c>
      <c r="K229" s="80">
        <f>'Template IF 2'!FD3</f>
        <v>557.61400000000003</v>
      </c>
      <c r="L229" s="60"/>
    </row>
    <row r="230" spans="1:32" ht="14.1" customHeight="1" x14ac:dyDescent="0.2">
      <c r="A230" s="64" t="str">
        <f>A16</f>
        <v>Aitkin, Itasca, Koochiching</v>
      </c>
      <c r="B230" s="80">
        <f>VLOOKUP($A16,'Template IF 2'!$B$3:$HI$110,152,FALSE)</f>
        <v>964.71199999999999</v>
      </c>
      <c r="C230" s="80">
        <f>VLOOKUP($A16,'Template IF 2'!$B$3:$HI$110,153,FALSE)</f>
        <v>840.69200000000001</v>
      </c>
      <c r="D230" s="80">
        <f>VLOOKUP($A16,'Template IF 2'!$B$3:$HI$110,154,FALSE)</f>
        <v>873.851</v>
      </c>
      <c r="E230" s="80">
        <f>VLOOKUP($A16,'Template IF 2'!$B$3:$HI$110,155,FALSE)</f>
        <v>845.19299999999998</v>
      </c>
      <c r="F230" s="60"/>
      <c r="G230" s="60"/>
      <c r="H230" s="80">
        <f>VLOOKUP($A16,'Template IF 2'!$B$3:$HI$110,156,FALSE)</f>
        <v>675.73699999999997</v>
      </c>
      <c r="I230" s="80">
        <f>VLOOKUP($A16,'Template IF 2'!$B$3:$HI$110,157,FALSE)</f>
        <v>601.56200000000001</v>
      </c>
      <c r="J230" s="80">
        <f>VLOOKUP($A16,'Template IF 2'!$B$3:$HI$110,158,FALSE)</f>
        <v>608.01199999999994</v>
      </c>
      <c r="K230" s="80">
        <f>VLOOKUP($A16,'Template IF 2'!$B$3:$HI$110,159,FALSE)</f>
        <v>633.35199999999998</v>
      </c>
      <c r="L230" s="60"/>
    </row>
    <row r="231" spans="1:32" ht="14.1" customHeight="1" x14ac:dyDescent="0.2">
      <c r="A231" s="64" t="str">
        <f>A18</f>
        <v>Anoka County</v>
      </c>
      <c r="B231" s="80">
        <f>VLOOKUP($A18,'Template IF 2'!$B$3:$HI$110,152,FALSE)</f>
        <v>943.24599999999998</v>
      </c>
      <c r="C231" s="80">
        <f>VLOOKUP($A18,'Template IF 2'!$B$3:$HI$110,153,FALSE)</f>
        <v>737.09100000000001</v>
      </c>
      <c r="D231" s="80">
        <f>VLOOKUP($A18,'Template IF 2'!$B$3:$HI$110,154,FALSE)</f>
        <v>781.952</v>
      </c>
      <c r="E231" s="80">
        <f>VLOOKUP($A18,'Template IF 2'!$B$3:$HI$110,155,FALSE)</f>
        <v>724.96699999999998</v>
      </c>
      <c r="F231" s="60"/>
      <c r="G231" s="60"/>
      <c r="H231" s="80">
        <f>VLOOKUP($A18,'Template IF 2'!$B$3:$HI$110,156,FALSE)</f>
        <v>671.88400000000001</v>
      </c>
      <c r="I231" s="80">
        <f>VLOOKUP($A18,'Template IF 2'!$B$3:$HI$110,157,FALSE)</f>
        <v>546.05100000000004</v>
      </c>
      <c r="J231" s="80">
        <f>VLOOKUP($A18,'Template IF 2'!$B$3:$HI$110,158,FALSE)</f>
        <v>542.64800000000002</v>
      </c>
      <c r="K231" s="80">
        <f>VLOOKUP($A18,'Template IF 2'!$B$3:$HI$110,159,FALSE)</f>
        <v>551.66200000000003</v>
      </c>
      <c r="L231" s="60"/>
    </row>
    <row r="232" spans="1:32" ht="14.1" customHeight="1" x14ac:dyDescent="0.2">
      <c r="A232" s="64" t="str">
        <f>A20</f>
        <v>Becker County</v>
      </c>
      <c r="B232" s="80">
        <f>VLOOKUP($A20,'Template IF 2'!$B$3:$HI$110,152,FALSE)</f>
        <v>1084.2550000000001</v>
      </c>
      <c r="C232" s="80">
        <f>VLOOKUP($A20,'Template IF 2'!$B$3:$HI$110,153,FALSE)</f>
        <v>928.572</v>
      </c>
      <c r="D232" s="80">
        <f>VLOOKUP($A20,'Template IF 2'!$B$3:$HI$110,154,FALSE)</f>
        <v>919.93399999999997</v>
      </c>
      <c r="E232" s="80">
        <f>VLOOKUP($A20,'Template IF 2'!$B$3:$HI$110,155,FALSE)</f>
        <v>813.19500000000005</v>
      </c>
      <c r="F232" s="60"/>
      <c r="G232" s="60"/>
      <c r="H232" s="80">
        <f>VLOOKUP($A20,'Template IF 2'!$B$3:$HI$110,156,FALSE)</f>
        <v>661.55399999999997</v>
      </c>
      <c r="I232" s="80">
        <f>VLOOKUP($A20,'Template IF 2'!$B$3:$HI$110,157,FALSE)</f>
        <v>654.524</v>
      </c>
      <c r="J232" s="80">
        <f>VLOOKUP($A20,'Template IF 2'!$B$3:$HI$110,158,FALSE)</f>
        <v>667.45899999999995</v>
      </c>
      <c r="K232" s="80">
        <f>VLOOKUP($A20,'Template IF 2'!$B$3:$HI$110,159,FALSE)</f>
        <v>661.52300000000002</v>
      </c>
      <c r="L232" s="60"/>
    </row>
    <row r="233" spans="1:32" ht="14.1" customHeight="1" x14ac:dyDescent="0.2">
      <c r="A233" s="64" t="str">
        <f>A22</f>
        <v>Beltrami County</v>
      </c>
      <c r="B233" s="80">
        <f>VLOOKUP($A22,'Template IF 2'!$B$3:$HI$110,152,FALSE)</f>
        <v>1041.0909999999999</v>
      </c>
      <c r="C233" s="80">
        <f>VLOOKUP($A22,'Template IF 2'!$B$3:$HI$110,153,FALSE)</f>
        <v>1035.3409999999999</v>
      </c>
      <c r="D233" s="80">
        <f>VLOOKUP($A22,'Template IF 2'!$B$3:$HI$110,154,FALSE)</f>
        <v>923.24599999999998</v>
      </c>
      <c r="E233" s="80">
        <f>VLOOKUP($A22,'Template IF 2'!$B$3:$HI$110,155,FALSE)</f>
        <v>904.41600000000005</v>
      </c>
      <c r="F233" s="60"/>
      <c r="G233" s="60"/>
      <c r="H233" s="80">
        <f>VLOOKUP($A22,'Template IF 2'!$B$3:$HI$110,156,FALSE)</f>
        <v>709.44</v>
      </c>
      <c r="I233" s="80">
        <f>VLOOKUP($A22,'Template IF 2'!$B$3:$HI$110,157,FALSE)</f>
        <v>628.298</v>
      </c>
      <c r="J233" s="80">
        <f>VLOOKUP($A22,'Template IF 2'!$B$3:$HI$110,158,FALSE)</f>
        <v>645.27700000000004</v>
      </c>
      <c r="K233" s="80">
        <f>VLOOKUP($A22,'Template IF 2'!$B$3:$HI$110,159,FALSE)</f>
        <v>681.85699999999997</v>
      </c>
      <c r="L233" s="60"/>
    </row>
    <row r="234" spans="1:32" ht="14.1" customHeight="1" x14ac:dyDescent="0.2">
      <c r="A234" s="64" t="str">
        <f>A24</f>
        <v>Benton County</v>
      </c>
      <c r="B234" s="80">
        <f>VLOOKUP($A24,'Template IF 2'!$B$3:$HI$110,152,FALSE)</f>
        <v>1128.0139999999999</v>
      </c>
      <c r="C234" s="80">
        <f>VLOOKUP($A24,'Template IF 2'!$B$3:$HI$110,153,FALSE)</f>
        <v>1084.479</v>
      </c>
      <c r="D234" s="80">
        <f>VLOOKUP($A24,'Template IF 2'!$B$3:$HI$110,154,FALSE)</f>
        <v>869.73599999999999</v>
      </c>
      <c r="E234" s="80">
        <f>VLOOKUP($A24,'Template IF 2'!$B$3:$HI$110,155,FALSE)</f>
        <v>794.72500000000002</v>
      </c>
      <c r="F234" s="60"/>
      <c r="G234" s="60"/>
      <c r="H234" s="80">
        <f>VLOOKUP($A24,'Template IF 2'!$B$3:$HI$110,156,FALSE)</f>
        <v>746.79399999999998</v>
      </c>
      <c r="I234" s="80">
        <f>VLOOKUP($A24,'Template IF 2'!$B$3:$HI$110,157,FALSE)</f>
        <v>751.07899999999995</v>
      </c>
      <c r="J234" s="80">
        <f>VLOOKUP($A24,'Template IF 2'!$B$3:$HI$110,158,FALSE)</f>
        <v>610.80899999999997</v>
      </c>
      <c r="K234" s="80">
        <f>VLOOKUP($A24,'Template IF 2'!$B$3:$HI$110,159,FALSE)</f>
        <v>643.96199999999999</v>
      </c>
      <c r="L234" s="60"/>
    </row>
    <row r="235" spans="1:32" ht="14.1" customHeight="1" x14ac:dyDescent="0.2">
      <c r="A235" s="53" t="str">
        <f>A26</f>
        <v>Big Stone County</v>
      </c>
      <c r="B235" s="179">
        <f>VLOOKUP($A26,'Template IF 2'!$B$3:$HI$110,152,FALSE)</f>
        <v>1068.3810000000001</v>
      </c>
      <c r="C235" s="179">
        <f>VLOOKUP($A26,'Template IF 2'!$B$3:$HI$110,153,FALSE)</f>
        <v>909.56799999999998</v>
      </c>
      <c r="D235" s="179">
        <f>VLOOKUP($A26,'Template IF 2'!$B$3:$HI$110,154,FALSE)</f>
        <v>879.46100000000001</v>
      </c>
      <c r="E235" s="179">
        <f>VLOOKUP($A26,'Template IF 2'!$B$3:$HI$110,155,FALSE)</f>
        <v>806.83799999999997</v>
      </c>
      <c r="F235" s="71"/>
      <c r="G235" s="71"/>
      <c r="H235" s="179">
        <f>VLOOKUP($A26,'Template IF 2'!$B$3:$HI$110,156,FALSE)</f>
        <v>681.428</v>
      </c>
      <c r="I235" s="179">
        <f>VLOOKUP($A26,'Template IF 2'!$B$3:$HI$110,157,FALSE)</f>
        <v>627.68499999999995</v>
      </c>
      <c r="J235" s="179">
        <f>VLOOKUP($A26,'Template IF 2'!$B$3:$HI$110,158,FALSE)</f>
        <v>597.31399999999996</v>
      </c>
      <c r="K235" s="179">
        <f>VLOOKUP($A26,'Template IF 2'!$B$3:$HI$110,159,FALSE)</f>
        <v>527.56600000000003</v>
      </c>
      <c r="L235" s="60"/>
    </row>
    <row r="236" spans="1:32" x14ac:dyDescent="0.2">
      <c r="A236" s="74" t="s">
        <v>156</v>
      </c>
      <c r="B236" s="65"/>
      <c r="C236" s="60"/>
      <c r="D236" s="60"/>
      <c r="E236" s="60"/>
      <c r="F236" s="60"/>
      <c r="G236" s="60"/>
      <c r="H236" s="60"/>
      <c r="I236" s="60"/>
      <c r="J236" s="60"/>
      <c r="K236" s="60"/>
      <c r="L236" s="60"/>
      <c r="N236"/>
      <c r="O236"/>
    </row>
    <row r="237" spans="1:32" ht="14.25" x14ac:dyDescent="0.2">
      <c r="A237" s="267" t="s">
        <v>456</v>
      </c>
      <c r="B237" s="267"/>
      <c r="C237" s="267"/>
      <c r="D237" s="267"/>
      <c r="E237" s="267"/>
      <c r="F237" s="267"/>
      <c r="G237" s="267"/>
      <c r="H237" s="267"/>
      <c r="I237" s="267"/>
      <c r="J237" s="267"/>
      <c r="K237" s="267"/>
      <c r="L237" s="267"/>
      <c r="N237"/>
      <c r="O237"/>
    </row>
    <row r="238" spans="1:32" x14ac:dyDescent="0.2">
      <c r="A238" s="64"/>
      <c r="B238" s="261" t="s">
        <v>39</v>
      </c>
      <c r="C238" s="261"/>
      <c r="D238" s="261"/>
      <c r="E238" s="261"/>
      <c r="F238" s="83"/>
      <c r="G238" s="27"/>
      <c r="H238" s="261" t="s">
        <v>141</v>
      </c>
      <c r="I238" s="261"/>
      <c r="J238" s="261"/>
      <c r="K238" s="261"/>
      <c r="L238" s="83"/>
      <c r="N238"/>
      <c r="O238"/>
    </row>
    <row r="239" spans="1:32" x14ac:dyDescent="0.2">
      <c r="A239" s="53"/>
      <c r="B239" s="84" t="s">
        <v>498</v>
      </c>
      <c r="C239" s="84" t="s">
        <v>499</v>
      </c>
      <c r="D239" s="84" t="s">
        <v>500</v>
      </c>
      <c r="E239" s="84" t="s">
        <v>501</v>
      </c>
      <c r="F239" s="55"/>
      <c r="G239" s="55"/>
      <c r="H239" s="84" t="s">
        <v>498</v>
      </c>
      <c r="I239" s="84" t="s">
        <v>499</v>
      </c>
      <c r="J239" s="84" t="s">
        <v>500</v>
      </c>
      <c r="K239" s="84" t="s">
        <v>501</v>
      </c>
      <c r="L239" s="27"/>
      <c r="N239"/>
      <c r="O239"/>
    </row>
    <row r="240" spans="1:32" ht="14.1" customHeight="1" x14ac:dyDescent="0.2">
      <c r="A240" s="64" t="s">
        <v>22</v>
      </c>
      <c r="B240" s="124">
        <f>'Template IF 2'!FE3</f>
        <v>44972</v>
      </c>
      <c r="C240" s="124">
        <f>'Template IF 2'!FF3</f>
        <v>45328</v>
      </c>
      <c r="D240" s="124">
        <f>'Template IF 2'!FG3</f>
        <v>47511</v>
      </c>
      <c r="E240" s="124">
        <f>'Template IF 2'!FH3</f>
        <v>48835</v>
      </c>
      <c r="F240" s="60"/>
      <c r="G240" s="60"/>
      <c r="H240" s="80">
        <f>'Template IF 2'!FI3</f>
        <v>187.35</v>
      </c>
      <c r="I240" s="80">
        <f>'Template IF 2'!FJ3</f>
        <v>172.643</v>
      </c>
      <c r="J240" s="80">
        <f>'Template IF 2'!FK3</f>
        <v>165.18100000000001</v>
      </c>
      <c r="K240" s="80">
        <f>'Template IF 2'!FL3</f>
        <v>151.01300000000001</v>
      </c>
      <c r="L240" s="60"/>
      <c r="N240"/>
    </row>
    <row r="241" spans="1:24" ht="14.1" customHeight="1" x14ac:dyDescent="0.2">
      <c r="A241" s="64" t="str">
        <f>A16</f>
        <v>Aitkin, Itasca, Koochiching</v>
      </c>
      <c r="B241" s="124">
        <f>VLOOKUP($A16,'Template IF 2'!$B$3:$HI$110,160,FALSE)</f>
        <v>1010</v>
      </c>
      <c r="C241" s="124">
        <f>VLOOKUP($A16,'Template IF 2'!$B$3:$HI$110,161,FALSE)</f>
        <v>1021</v>
      </c>
      <c r="D241" s="124">
        <f>VLOOKUP($A16,'Template IF 2'!$B$3:$HI$110,162,FALSE)</f>
        <v>1055</v>
      </c>
      <c r="E241" s="124">
        <f>VLOOKUP($A16,'Template IF 2'!$B$3:$HI$110,163,FALSE)</f>
        <v>1103</v>
      </c>
      <c r="F241" s="60"/>
      <c r="G241" s="60"/>
      <c r="H241" s="80">
        <f>VLOOKUP($A16,'Template IF 2'!$B$3:$HI$110,164,FALSE)</f>
        <v>198.798</v>
      </c>
      <c r="I241" s="80">
        <f>VLOOKUP($A16,'Template IF 2'!$B$3:$HI$110,165,FALSE)</f>
        <v>185.26</v>
      </c>
      <c r="J241" s="80">
        <f>VLOOKUP($A16,'Template IF 2'!$B$3:$HI$110,166,FALSE)</f>
        <v>176.35499999999999</v>
      </c>
      <c r="K241" s="80">
        <f>VLOOKUP($A16,'Template IF 2'!$B$3:$HI$110,167,FALSE)</f>
        <v>176.52699999999999</v>
      </c>
      <c r="L241" s="60"/>
      <c r="N241"/>
      <c r="O241"/>
    </row>
    <row r="242" spans="1:24" ht="14.1" customHeight="1" x14ac:dyDescent="0.2">
      <c r="A242" s="64" t="str">
        <f>A18</f>
        <v>Anoka County</v>
      </c>
      <c r="B242" s="124">
        <f>VLOOKUP($A18,'Template IF 2'!$B$3:$HI$110,160,FALSE)</f>
        <v>1906</v>
      </c>
      <c r="C242" s="124">
        <f>VLOOKUP($A18,'Template IF 2'!$B$3:$HI$110,161,FALSE)</f>
        <v>2041</v>
      </c>
      <c r="D242" s="124">
        <f>VLOOKUP($A18,'Template IF 2'!$B$3:$HI$110,162,FALSE)</f>
        <v>2448</v>
      </c>
      <c r="E242" s="124">
        <f>VLOOKUP($A18,'Template IF 2'!$B$3:$HI$110,163,FALSE)</f>
        <v>2748</v>
      </c>
      <c r="F242" s="60"/>
      <c r="G242" s="60"/>
      <c r="H242" s="80">
        <f>VLOOKUP($A18,'Template IF 2'!$B$3:$HI$110,164,FALSE)</f>
        <v>197.77600000000001</v>
      </c>
      <c r="I242" s="80">
        <f>VLOOKUP($A18,'Template IF 2'!$B$3:$HI$110,165,FALSE)</f>
        <v>170.02099999999999</v>
      </c>
      <c r="J242" s="80">
        <f>VLOOKUP($A18,'Template IF 2'!$B$3:$HI$110,166,FALSE)</f>
        <v>173.44900000000001</v>
      </c>
      <c r="K242" s="80">
        <f>VLOOKUP($A18,'Template IF 2'!$B$3:$HI$110,167,FALSE)</f>
        <v>158.51300000000001</v>
      </c>
      <c r="L242" s="60"/>
    </row>
    <row r="243" spans="1:24" ht="14.1" customHeight="1" x14ac:dyDescent="0.2">
      <c r="A243" s="64" t="str">
        <f>A20</f>
        <v>Becker County</v>
      </c>
      <c r="B243" s="124">
        <f>VLOOKUP($A20,'Template IF 2'!$B$3:$HI$110,160,FALSE)</f>
        <v>347</v>
      </c>
      <c r="C243" s="124">
        <f>VLOOKUP($A20,'Template IF 2'!$B$3:$HI$110,161,FALSE)</f>
        <v>330</v>
      </c>
      <c r="D243" s="124">
        <f>VLOOKUP($A20,'Template IF 2'!$B$3:$HI$110,162,FALSE)</f>
        <v>419</v>
      </c>
      <c r="E243" s="124">
        <f>VLOOKUP($A20,'Template IF 2'!$B$3:$HI$110,163,FALSE)</f>
        <v>380</v>
      </c>
      <c r="F243" s="60"/>
      <c r="G243" s="60"/>
      <c r="H243" s="80">
        <f>VLOOKUP($A20,'Template IF 2'!$B$3:$HI$110,164,FALSE)</f>
        <v>183.13300000000001</v>
      </c>
      <c r="I243" s="80">
        <f>VLOOKUP($A20,'Template IF 2'!$B$3:$HI$110,165,FALSE)</f>
        <v>163.79</v>
      </c>
      <c r="J243" s="80">
        <f>VLOOKUP($A20,'Template IF 2'!$B$3:$HI$110,166,FALSE)</f>
        <v>189.13900000000001</v>
      </c>
      <c r="K243" s="80">
        <f>VLOOKUP($A20,'Template IF 2'!$B$3:$HI$110,167,FALSE)</f>
        <v>156.999</v>
      </c>
      <c r="L243" s="60"/>
    </row>
    <row r="244" spans="1:24" ht="14.1" customHeight="1" x14ac:dyDescent="0.2">
      <c r="A244" s="64" t="str">
        <f>A22</f>
        <v>Beltrami County</v>
      </c>
      <c r="B244" s="124">
        <f>VLOOKUP($A22,'Template IF 2'!$B$3:$HI$110,160,FALSE)</f>
        <v>335</v>
      </c>
      <c r="C244" s="124">
        <f>VLOOKUP($A22,'Template IF 2'!$B$3:$HI$110,161,FALSE)</f>
        <v>379</v>
      </c>
      <c r="D244" s="124">
        <f>VLOOKUP($A22,'Template IF 2'!$B$3:$HI$110,162,FALSE)</f>
        <v>393</v>
      </c>
      <c r="E244" s="124">
        <f>VLOOKUP($A22,'Template IF 2'!$B$3:$HI$110,163,FALSE)</f>
        <v>428</v>
      </c>
      <c r="F244" s="60"/>
      <c r="G244" s="60"/>
      <c r="H244" s="80">
        <f>VLOOKUP($A22,'Template IF 2'!$B$3:$HI$110,164,FALSE)</f>
        <v>181.89099999999999</v>
      </c>
      <c r="I244" s="80">
        <f>VLOOKUP($A22,'Template IF 2'!$B$3:$HI$110,165,FALSE)</f>
        <v>183.839</v>
      </c>
      <c r="J244" s="80">
        <f>VLOOKUP($A22,'Template IF 2'!$B$3:$HI$110,166,FALSE)</f>
        <v>166.88300000000001</v>
      </c>
      <c r="K244" s="80">
        <f>VLOOKUP($A22,'Template IF 2'!$B$3:$HI$110,167,FALSE)</f>
        <v>161.38</v>
      </c>
      <c r="L244" s="60"/>
    </row>
    <row r="245" spans="1:24" ht="14.1" customHeight="1" x14ac:dyDescent="0.2">
      <c r="A245" s="64" t="str">
        <f>A24</f>
        <v>Benton County</v>
      </c>
      <c r="B245" s="124">
        <f>VLOOKUP($A24,'Template IF 2'!$B$3:$HI$110,160,FALSE)</f>
        <v>303</v>
      </c>
      <c r="C245" s="124">
        <f>VLOOKUP($A24,'Template IF 2'!$B$3:$HI$110,161,FALSE)</f>
        <v>357</v>
      </c>
      <c r="D245" s="124">
        <f>VLOOKUP($A24,'Template IF 2'!$B$3:$HI$110,162,FALSE)</f>
        <v>307</v>
      </c>
      <c r="E245" s="124">
        <f>VLOOKUP($A24,'Template IF 2'!$B$3:$HI$110,163,FALSE)</f>
        <v>333</v>
      </c>
      <c r="F245" s="60"/>
      <c r="G245" s="60"/>
      <c r="H245" s="80">
        <f>VLOOKUP($A24,'Template IF 2'!$B$3:$HI$110,164,FALSE)</f>
        <v>196.571</v>
      </c>
      <c r="I245" s="80">
        <f>VLOOKUP($A24,'Template IF 2'!$B$3:$HI$110,165,FALSE)</f>
        <v>213.11099999999999</v>
      </c>
      <c r="J245" s="80">
        <f>VLOOKUP($A24,'Template IF 2'!$B$3:$HI$110,166,FALSE)</f>
        <v>155.393</v>
      </c>
      <c r="K245" s="80">
        <f>VLOOKUP($A24,'Template IF 2'!$B$3:$HI$110,167,FALSE)</f>
        <v>143.94999999999999</v>
      </c>
      <c r="L245" s="60"/>
    </row>
    <row r="246" spans="1:24" ht="14.1" customHeight="1" x14ac:dyDescent="0.2">
      <c r="A246" s="53" t="str">
        <f>A26</f>
        <v>Big Stone County</v>
      </c>
      <c r="B246" s="125">
        <f>VLOOKUP($A26,'Template IF 2'!$B$3:$HI$110,160,FALSE)</f>
        <v>124</v>
      </c>
      <c r="C246" s="125">
        <f>VLOOKUP($A26,'Template IF 2'!$B$3:$HI$110,161,FALSE)</f>
        <v>100</v>
      </c>
      <c r="D246" s="125">
        <f>VLOOKUP($A26,'Template IF 2'!$B$3:$HI$110,162,FALSE)</f>
        <v>98</v>
      </c>
      <c r="E246" s="125">
        <f>VLOOKUP($A26,'Template IF 2'!$B$3:$HI$110,163,FALSE)</f>
        <v>82</v>
      </c>
      <c r="F246" s="71"/>
      <c r="G246" s="71"/>
      <c r="H246" s="179">
        <f>VLOOKUP($A26,'Template IF 2'!$B$3:$HI$110,164,FALSE)</f>
        <v>243.696</v>
      </c>
      <c r="I246" s="179">
        <f>VLOOKUP($A26,'Template IF 2'!$B$3:$HI$110,165,FALSE)</f>
        <v>199.05600000000001</v>
      </c>
      <c r="J246" s="179">
        <f>VLOOKUP($A26,'Template IF 2'!$B$3:$HI$110,166,FALSE)</f>
        <v>188.506</v>
      </c>
      <c r="K246" s="179">
        <f>VLOOKUP($A26,'Template IF 2'!$B$3:$HI$110,167,FALSE)</f>
        <v>160.53299999999999</v>
      </c>
      <c r="L246" s="60"/>
    </row>
    <row r="247" spans="1:24" ht="13.5" customHeight="1" x14ac:dyDescent="0.2">
      <c r="A247" s="64"/>
      <c r="B247" s="261" t="s">
        <v>38</v>
      </c>
      <c r="C247" s="261"/>
      <c r="D247" s="261"/>
      <c r="E247" s="261"/>
      <c r="F247" s="83"/>
      <c r="G247" s="54"/>
      <c r="H247" s="261" t="s">
        <v>140</v>
      </c>
      <c r="I247" s="261"/>
      <c r="J247" s="261"/>
      <c r="K247" s="261"/>
      <c r="L247" s="83"/>
    </row>
    <row r="248" spans="1:24" x14ac:dyDescent="0.2">
      <c r="A248" s="53"/>
      <c r="B248" s="84" t="s">
        <v>498</v>
      </c>
      <c r="C248" s="84" t="s">
        <v>499</v>
      </c>
      <c r="D248" s="84" t="s">
        <v>500</v>
      </c>
      <c r="E248" s="84" t="s">
        <v>501</v>
      </c>
      <c r="F248" s="55"/>
      <c r="G248" s="55"/>
      <c r="H248" s="84" t="s">
        <v>498</v>
      </c>
      <c r="I248" s="84" t="s">
        <v>499</v>
      </c>
      <c r="J248" s="84" t="s">
        <v>500</v>
      </c>
      <c r="K248" s="84" t="s">
        <v>501</v>
      </c>
      <c r="L248" s="86"/>
      <c r="N248"/>
      <c r="O248"/>
    </row>
    <row r="249" spans="1:24" ht="14.1" customHeight="1" x14ac:dyDescent="0.2">
      <c r="A249" s="64" t="s">
        <v>22</v>
      </c>
      <c r="B249" s="124">
        <f>'Template IF 2'!FM3</f>
        <v>45015</v>
      </c>
      <c r="C249" s="124">
        <f>'Template IF 2'!FN3</f>
        <v>39035</v>
      </c>
      <c r="D249" s="124">
        <f>'Template IF 2'!FO3</f>
        <v>36521</v>
      </c>
      <c r="E249" s="124">
        <f>'Template IF 2'!FP3</f>
        <v>39084</v>
      </c>
      <c r="F249" s="60"/>
      <c r="G249" s="185"/>
      <c r="H249" s="80">
        <f>'Template IF 2'!FQ3</f>
        <v>180.19300000000001</v>
      </c>
      <c r="I249" s="80">
        <f>'Template IF 2'!FR3</f>
        <v>139.21799999999999</v>
      </c>
      <c r="J249" s="80">
        <f>'Template IF 2'!FS3</f>
        <v>121.54900000000001</v>
      </c>
      <c r="K249" s="80">
        <f>'Template IF 2'!FT3</f>
        <v>116.79900000000001</v>
      </c>
      <c r="L249" s="60"/>
    </row>
    <row r="250" spans="1:24" ht="14.1" customHeight="1" x14ac:dyDescent="0.2">
      <c r="A250" s="64" t="str">
        <f>A16</f>
        <v>Aitkin, Itasca, Koochiching</v>
      </c>
      <c r="B250" s="124">
        <f>VLOOKUP($A16,'Template IF 2'!$B$3:$HI$110,168,FALSE)</f>
        <v>1079</v>
      </c>
      <c r="C250" s="124">
        <f>VLOOKUP($A16,'Template IF 2'!$B$3:$HI$110,169,FALSE)</f>
        <v>948</v>
      </c>
      <c r="D250" s="124">
        <f>VLOOKUP($A16,'Template IF 2'!$B$3:$HI$110,170,FALSE)</f>
        <v>888</v>
      </c>
      <c r="E250" s="124">
        <f>VLOOKUP($A16,'Template IF 2'!$B$3:$HI$110,171,FALSE)</f>
        <v>892</v>
      </c>
      <c r="F250" s="60"/>
      <c r="G250" s="185"/>
      <c r="H250" s="80">
        <f>VLOOKUP($A16,'Template IF 2'!$B$3:$HI$110,172,FALSE)</f>
        <v>209.98400000000001</v>
      </c>
      <c r="I250" s="80">
        <f>VLOOKUP($A16,'Template IF 2'!$B$3:$HI$110,173,FALSE)</f>
        <v>164.24799999999999</v>
      </c>
      <c r="J250" s="80">
        <f>VLOOKUP($A16,'Template IF 2'!$B$3:$HI$110,174,FALSE)</f>
        <v>146.47999999999999</v>
      </c>
      <c r="K250" s="80">
        <f>VLOOKUP($A16,'Template IF 2'!$B$3:$HI$110,175,FALSE)</f>
        <v>139.62200000000001</v>
      </c>
      <c r="L250" s="60"/>
    </row>
    <row r="251" spans="1:24" ht="14.1" customHeight="1" x14ac:dyDescent="0.2">
      <c r="A251" s="64" t="str">
        <f>A18</f>
        <v>Anoka County</v>
      </c>
      <c r="B251" s="124">
        <f>VLOOKUP($A18,'Template IF 2'!$B$3:$HI$110,168,FALSE)</f>
        <v>1501</v>
      </c>
      <c r="C251" s="124">
        <f>VLOOKUP($A18,'Template IF 2'!$B$3:$HI$110,169,FALSE)</f>
        <v>1260</v>
      </c>
      <c r="D251" s="124">
        <f>VLOOKUP($A18,'Template IF 2'!$B$3:$HI$110,170,FALSE)</f>
        <v>1305</v>
      </c>
      <c r="E251" s="124">
        <f>VLOOKUP($A18,'Template IF 2'!$B$3:$HI$110,171,FALSE)</f>
        <v>1651</v>
      </c>
      <c r="F251" s="60"/>
      <c r="G251" s="185"/>
      <c r="H251" s="80">
        <f>VLOOKUP($A18,'Template IF 2'!$B$3:$HI$110,172,FALSE)</f>
        <v>179.95599999999999</v>
      </c>
      <c r="I251" s="80">
        <f>VLOOKUP($A18,'Template IF 2'!$B$3:$HI$110,173,FALSE)</f>
        <v>115.807</v>
      </c>
      <c r="J251" s="80">
        <f>VLOOKUP($A18,'Template IF 2'!$B$3:$HI$110,174,FALSE)</f>
        <v>104.89</v>
      </c>
      <c r="K251" s="80">
        <f>VLOOKUP($A18,'Template IF 2'!$B$3:$HI$110,175,FALSE)</f>
        <v>105.898</v>
      </c>
      <c r="L251" s="60"/>
      <c r="M251" s="24"/>
      <c r="S251" s="24"/>
      <c r="T251" s="24"/>
      <c r="U251" s="24"/>
      <c r="V251" s="24"/>
      <c r="X251" s="24"/>
    </row>
    <row r="252" spans="1:24" ht="14.1" customHeight="1" x14ac:dyDescent="0.2">
      <c r="A252" s="64" t="str">
        <f>A20</f>
        <v>Becker County</v>
      </c>
      <c r="B252" s="124">
        <f>VLOOKUP($A20,'Template IF 2'!$B$3:$HI$110,168,FALSE)</f>
        <v>458</v>
      </c>
      <c r="C252" s="124">
        <f>VLOOKUP($A20,'Template IF 2'!$B$3:$HI$110,169,FALSE)</f>
        <v>388</v>
      </c>
      <c r="D252" s="124">
        <f>VLOOKUP($A20,'Template IF 2'!$B$3:$HI$110,170,FALSE)</f>
        <v>306</v>
      </c>
      <c r="E252" s="124">
        <f>VLOOKUP($A20,'Template IF 2'!$B$3:$HI$110,171,FALSE)</f>
        <v>296</v>
      </c>
      <c r="F252" s="60"/>
      <c r="G252" s="185"/>
      <c r="H252" s="80">
        <f>VLOOKUP($A20,'Template IF 2'!$B$3:$HI$110,172,FALSE)</f>
        <v>233.03700000000001</v>
      </c>
      <c r="I252" s="80">
        <f>VLOOKUP($A20,'Template IF 2'!$B$3:$HI$110,173,FALSE)</f>
        <v>186.37100000000001</v>
      </c>
      <c r="J252" s="80">
        <f>VLOOKUP($A20,'Template IF 2'!$B$3:$HI$110,174,FALSE)</f>
        <v>136.42400000000001</v>
      </c>
      <c r="K252" s="80">
        <f>VLOOKUP($A20,'Template IF 2'!$B$3:$HI$110,175,FALSE)</f>
        <v>125.34699999999999</v>
      </c>
      <c r="L252" s="60"/>
      <c r="M252" s="24"/>
    </row>
    <row r="253" spans="1:24" ht="14.1" customHeight="1" x14ac:dyDescent="0.2">
      <c r="A253" s="64" t="str">
        <f>A22</f>
        <v>Beltrami County</v>
      </c>
      <c r="B253" s="124">
        <f>VLOOKUP($A22,'Template IF 2'!$B$3:$HI$110,168,FALSE)</f>
        <v>368</v>
      </c>
      <c r="C253" s="124">
        <f>VLOOKUP($A22,'Template IF 2'!$B$3:$HI$110,169,FALSE)</f>
        <v>330</v>
      </c>
      <c r="D253" s="124">
        <f>VLOOKUP($A22,'Template IF 2'!$B$3:$HI$110,170,FALSE)</f>
        <v>361</v>
      </c>
      <c r="E253" s="124">
        <f>VLOOKUP($A22,'Template IF 2'!$B$3:$HI$110,171,FALSE)</f>
        <v>335</v>
      </c>
      <c r="F253" s="60"/>
      <c r="G253" s="185"/>
      <c r="H253" s="80">
        <f>VLOOKUP($A22,'Template IF 2'!$B$3:$HI$110,172,FALSE)</f>
        <v>192.774</v>
      </c>
      <c r="I253" s="80">
        <f>VLOOKUP($A22,'Template IF 2'!$B$3:$HI$110,173,FALSE)</f>
        <v>154.27000000000001</v>
      </c>
      <c r="J253" s="80">
        <f>VLOOKUP($A22,'Template IF 2'!$B$3:$HI$110,174,FALSE)</f>
        <v>147.13999999999999</v>
      </c>
      <c r="K253" s="80">
        <f>VLOOKUP($A22,'Template IF 2'!$B$3:$HI$110,175,FALSE)</f>
        <v>129.28700000000001</v>
      </c>
      <c r="L253" s="60"/>
    </row>
    <row r="254" spans="1:24" ht="14.1" customHeight="1" x14ac:dyDescent="0.2">
      <c r="A254" s="64" t="str">
        <f>A24</f>
        <v>Benton County</v>
      </c>
      <c r="B254" s="124">
        <f>VLOOKUP($A24,'Template IF 2'!$B$3:$HI$110,168,FALSE)</f>
        <v>455</v>
      </c>
      <c r="C254" s="124">
        <f>VLOOKUP($A24,'Template IF 2'!$B$3:$HI$110,169,FALSE)</f>
        <v>404</v>
      </c>
      <c r="D254" s="124">
        <f>VLOOKUP($A24,'Template IF 2'!$B$3:$HI$110,170,FALSE)</f>
        <v>333</v>
      </c>
      <c r="E254" s="124">
        <f>VLOOKUP($A24,'Template IF 2'!$B$3:$HI$110,171,FALSE)</f>
        <v>306</v>
      </c>
      <c r="F254" s="60"/>
      <c r="G254" s="185"/>
      <c r="H254" s="80">
        <f>VLOOKUP($A24,'Template IF 2'!$B$3:$HI$110,172,FALSE)</f>
        <v>262.81</v>
      </c>
      <c r="I254" s="80">
        <f>VLOOKUP($A24,'Template IF 2'!$B$3:$HI$110,173,FALSE)</f>
        <v>225.49700000000001</v>
      </c>
      <c r="J254" s="80">
        <f>VLOOKUP($A24,'Template IF 2'!$B$3:$HI$110,174,FALSE)</f>
        <v>152.86000000000001</v>
      </c>
      <c r="K254" s="80">
        <f>VLOOKUP($A24,'Template IF 2'!$B$3:$HI$110,175,FALSE)</f>
        <v>122.10899999999999</v>
      </c>
      <c r="L254" s="60"/>
    </row>
    <row r="255" spans="1:24" ht="14.1" customHeight="1" x14ac:dyDescent="0.2">
      <c r="A255" s="53" t="str">
        <f>A26</f>
        <v>Big Stone County</v>
      </c>
      <c r="B255" s="125">
        <f>VLOOKUP($A26,'Template IF 2'!$B$3:$HI$110,168,FALSE)</f>
        <v>159</v>
      </c>
      <c r="C255" s="125">
        <f>VLOOKUP($A26,'Template IF 2'!$B$3:$HI$110,169,FALSE)</f>
        <v>115</v>
      </c>
      <c r="D255" s="125">
        <f>VLOOKUP($A26,'Template IF 2'!$B$3:$HI$110,170,FALSE)</f>
        <v>103</v>
      </c>
      <c r="E255" s="125">
        <f>VLOOKUP($A26,'Template IF 2'!$B$3:$HI$110,171,FALSE)</f>
        <v>84</v>
      </c>
      <c r="F255" s="71"/>
      <c r="G255" s="186"/>
      <c r="H255" s="179">
        <f>VLOOKUP($A26,'Template IF 2'!$B$3:$HI$110,172,FALSE)</f>
        <v>270.089</v>
      </c>
      <c r="I255" s="179">
        <f>VLOOKUP($A26,'Template IF 2'!$B$3:$HI$110,173,FALSE)</f>
        <v>193.886</v>
      </c>
      <c r="J255" s="179">
        <f>VLOOKUP($A26,'Template IF 2'!$B$3:$HI$110,174,FALSE)</f>
        <v>165.63800000000001</v>
      </c>
      <c r="K255" s="179">
        <f>VLOOKUP($A26,'Template IF 2'!$B$3:$HI$110,175,FALSE)</f>
        <v>133.744</v>
      </c>
      <c r="L255" s="60"/>
    </row>
    <row r="256" spans="1:24" ht="10.5" customHeight="1" x14ac:dyDescent="0.2">
      <c r="A256" s="64"/>
      <c r="B256" s="261" t="s">
        <v>40</v>
      </c>
      <c r="C256" s="261"/>
      <c r="D256" s="261"/>
      <c r="E256" s="261"/>
      <c r="F256" s="83"/>
      <c r="G256" s="54"/>
      <c r="H256" s="270" t="s">
        <v>142</v>
      </c>
      <c r="I256" s="270"/>
      <c r="J256" s="270"/>
      <c r="K256" s="270"/>
      <c r="L256" s="83"/>
      <c r="N256"/>
    </row>
    <row r="257" spans="1:24" ht="14.25" customHeight="1" x14ac:dyDescent="0.2">
      <c r="A257" s="53"/>
      <c r="B257" s="84" t="s">
        <v>498</v>
      </c>
      <c r="C257" s="84" t="s">
        <v>499</v>
      </c>
      <c r="D257" s="84" t="s">
        <v>500</v>
      </c>
      <c r="E257" s="84" t="s">
        <v>501</v>
      </c>
      <c r="F257" s="55"/>
      <c r="G257" s="55"/>
      <c r="H257" s="84" t="s">
        <v>498</v>
      </c>
      <c r="I257" s="84" t="s">
        <v>499</v>
      </c>
      <c r="J257" s="84" t="s">
        <v>500</v>
      </c>
      <c r="K257" s="84" t="s">
        <v>501</v>
      </c>
      <c r="L257" s="27"/>
    </row>
    <row r="258" spans="1:24" ht="14.1" customHeight="1" x14ac:dyDescent="0.2">
      <c r="A258" s="64" t="s">
        <v>22</v>
      </c>
      <c r="B258" s="124">
        <f>'Template IF 2'!FU3</f>
        <v>14016</v>
      </c>
      <c r="C258" s="124">
        <f>'Template IF 2'!FV3</f>
        <v>11757</v>
      </c>
      <c r="D258" s="124">
        <f>'Template IF 2'!FW3</f>
        <v>10479</v>
      </c>
      <c r="E258" s="124">
        <f>'Template IF 2'!FX3</f>
        <v>10895</v>
      </c>
      <c r="F258" s="60"/>
      <c r="G258" s="60"/>
      <c r="H258" s="80">
        <f>'Template IF 2'!FY3</f>
        <v>55.384</v>
      </c>
      <c r="I258" s="80">
        <f>'Template IF 2'!FZ3</f>
        <v>41.688000000000002</v>
      </c>
      <c r="J258" s="80">
        <f>'Template IF 2'!GA3</f>
        <v>34.906999999999996</v>
      </c>
      <c r="K258" s="80">
        <f>'Template IF 2'!GB3</f>
        <v>32.726999999999997</v>
      </c>
      <c r="L258" s="60"/>
    </row>
    <row r="259" spans="1:24" ht="14.1" customHeight="1" x14ac:dyDescent="0.2">
      <c r="A259" s="64" t="str">
        <f>A16</f>
        <v>Aitkin, Itasca, Koochiching</v>
      </c>
      <c r="B259" s="144">
        <f>VLOOKUP($A16,'Template IF 2'!$B$3:$HI$110,176,FALSE)</f>
        <v>274</v>
      </c>
      <c r="C259" s="144">
        <f>VLOOKUP($A16,'Template IF 2'!$B$3:$HI$110,177,FALSE)</f>
        <v>263</v>
      </c>
      <c r="D259" s="144">
        <f>VLOOKUP($A16,'Template IF 2'!$B$3:$HI$110,178,FALSE)</f>
        <v>232</v>
      </c>
      <c r="E259" s="144">
        <f>VLOOKUP($A16,'Template IF 2'!$B$3:$HI$110,179,FALSE)</f>
        <v>229</v>
      </c>
      <c r="F259" s="60"/>
      <c r="G259" s="60"/>
      <c r="H259" s="81">
        <f>VLOOKUP($A16,'Template IF 2'!$B$3:$HI$110,180,FALSE)</f>
        <v>53.207000000000001</v>
      </c>
      <c r="I259" s="81">
        <f>VLOOKUP($A16,'Template IF 2'!$B$3:$HI$110,181,FALSE)</f>
        <v>43.33</v>
      </c>
      <c r="J259" s="81">
        <f>VLOOKUP($A16,'Template IF 2'!$B$3:$HI$110,182,FALSE)</f>
        <v>39.189</v>
      </c>
      <c r="K259" s="81">
        <f>VLOOKUP($A16,'Template IF 2'!$B$3:$HI$110,183,FALSE)</f>
        <v>35.533000000000001</v>
      </c>
      <c r="L259" s="60"/>
    </row>
    <row r="260" spans="1:24" ht="14.1" customHeight="1" x14ac:dyDescent="0.2">
      <c r="A260" s="64" t="str">
        <f>A18</f>
        <v>Anoka County</v>
      </c>
      <c r="B260" s="144">
        <f>VLOOKUP($A18,'Template IF 2'!$B$3:$HI$110,176,FALSE)</f>
        <v>392</v>
      </c>
      <c r="C260" s="144">
        <f>VLOOKUP($A18,'Template IF 2'!$B$3:$HI$110,177,FALSE)</f>
        <v>366</v>
      </c>
      <c r="D260" s="144">
        <f>VLOOKUP($A18,'Template IF 2'!$B$3:$HI$110,178,FALSE)</f>
        <v>369</v>
      </c>
      <c r="E260" s="144">
        <f>VLOOKUP($A18,'Template IF 2'!$B$3:$HI$110,179,FALSE)</f>
        <v>434</v>
      </c>
      <c r="F260" s="60"/>
      <c r="G260" s="60"/>
      <c r="H260" s="81">
        <f>VLOOKUP($A18,'Template IF 2'!$B$3:$HI$110,180,FALSE)</f>
        <v>50.828000000000003</v>
      </c>
      <c r="I260" s="81">
        <f>VLOOKUP($A18,'Template IF 2'!$B$3:$HI$110,181,FALSE)</f>
        <v>34.582000000000001</v>
      </c>
      <c r="J260" s="81">
        <f>VLOOKUP($A18,'Template IF 2'!$B$3:$HI$110,182,FALSE)</f>
        <v>31.396000000000001</v>
      </c>
      <c r="K260" s="81">
        <f>VLOOKUP($A18,'Template IF 2'!$B$3:$HI$110,183,FALSE)</f>
        <v>28.518999999999998</v>
      </c>
      <c r="L260" s="60"/>
      <c r="S260" s="24"/>
      <c r="T260" s="24"/>
      <c r="U260" s="24"/>
      <c r="V260" s="24"/>
      <c r="X260" s="24"/>
    </row>
    <row r="261" spans="1:24" ht="14.1" customHeight="1" x14ac:dyDescent="0.2">
      <c r="A261" s="64" t="str">
        <f>A20</f>
        <v>Becker County</v>
      </c>
      <c r="B261" s="144">
        <f>VLOOKUP($A20,'Template IF 2'!$B$3:$HI$110,176,FALSE)</f>
        <v>133</v>
      </c>
      <c r="C261" s="144">
        <f>VLOOKUP($A20,'Template IF 2'!$B$3:$HI$110,177,FALSE)</f>
        <v>108</v>
      </c>
      <c r="D261" s="144">
        <f>VLOOKUP($A20,'Template IF 2'!$B$3:$HI$110,178,FALSE)</f>
        <v>94</v>
      </c>
      <c r="E261" s="144">
        <f>VLOOKUP($A20,'Template IF 2'!$B$3:$HI$110,179,FALSE)</f>
        <v>96</v>
      </c>
      <c r="F261" s="60"/>
      <c r="G261" s="60"/>
      <c r="H261" s="81">
        <f>VLOOKUP($A20,'Template IF 2'!$B$3:$HI$110,180,FALSE)</f>
        <v>66.953000000000003</v>
      </c>
      <c r="I261" s="81">
        <f>VLOOKUP($A20,'Template IF 2'!$B$3:$HI$110,181,FALSE)</f>
        <v>51.651000000000003</v>
      </c>
      <c r="J261" s="81">
        <f>VLOOKUP($A20,'Template IF 2'!$B$3:$HI$110,182,FALSE)</f>
        <v>42.494</v>
      </c>
      <c r="K261" s="81">
        <f>VLOOKUP($A20,'Template IF 2'!$B$3:$HI$110,183,FALSE)</f>
        <v>38.386000000000003</v>
      </c>
      <c r="L261" s="60"/>
      <c r="S261" s="24"/>
      <c r="T261" s="24"/>
      <c r="U261" s="24"/>
      <c r="V261" s="24"/>
      <c r="X261" s="24"/>
    </row>
    <row r="262" spans="1:24" ht="14.1" customHeight="1" x14ac:dyDescent="0.2">
      <c r="A262" s="64" t="str">
        <f>A22</f>
        <v>Beltrami County</v>
      </c>
      <c r="B262" s="144">
        <f>VLOOKUP($A22,'Template IF 2'!$B$3:$HI$110,176,FALSE)</f>
        <v>100</v>
      </c>
      <c r="C262" s="144">
        <f>VLOOKUP($A22,'Template IF 2'!$B$3:$HI$110,177,FALSE)</f>
        <v>93</v>
      </c>
      <c r="D262" s="144">
        <f>VLOOKUP($A22,'Template IF 2'!$B$3:$HI$110,178,FALSE)</f>
        <v>95</v>
      </c>
      <c r="E262" s="144">
        <f>VLOOKUP($A22,'Template IF 2'!$B$3:$HI$110,179,FALSE)</f>
        <v>81</v>
      </c>
      <c r="F262" s="60"/>
      <c r="G262" s="60"/>
      <c r="H262" s="81">
        <f>VLOOKUP($A22,'Template IF 2'!$B$3:$HI$110,180,FALSE)</f>
        <v>51.993000000000002</v>
      </c>
      <c r="I262" s="81">
        <f>VLOOKUP($A22,'Template IF 2'!$B$3:$HI$110,181,FALSE)</f>
        <v>43.262999999999998</v>
      </c>
      <c r="J262" s="81">
        <f>VLOOKUP($A22,'Template IF 2'!$B$3:$HI$110,182,FALSE)</f>
        <v>39.018999999999998</v>
      </c>
      <c r="K262" s="81">
        <f>VLOOKUP($A22,'Template IF 2'!$B$3:$HI$110,183,FALSE)</f>
        <v>29.86</v>
      </c>
      <c r="L262" s="60"/>
    </row>
    <row r="263" spans="1:24" ht="14.1" customHeight="1" x14ac:dyDescent="0.2">
      <c r="A263" s="64" t="str">
        <f>A24</f>
        <v>Benton County</v>
      </c>
      <c r="B263" s="144">
        <f>VLOOKUP($A24,'Template IF 2'!$B$3:$HI$110,176,FALSE)</f>
        <v>149</v>
      </c>
      <c r="C263" s="144">
        <f>VLOOKUP($A24,'Template IF 2'!$B$3:$HI$110,177,FALSE)</f>
        <v>128</v>
      </c>
      <c r="D263" s="144">
        <f>VLOOKUP($A24,'Template IF 2'!$B$3:$HI$110,178,FALSE)</f>
        <v>91</v>
      </c>
      <c r="E263" s="144">
        <f>VLOOKUP($A24,'Template IF 2'!$B$3:$HI$110,179,FALSE)</f>
        <v>100</v>
      </c>
      <c r="F263" s="60"/>
      <c r="G263" s="60"/>
      <c r="H263" s="81">
        <f>VLOOKUP($A24,'Template IF 2'!$B$3:$HI$110,180,FALSE)</f>
        <v>82.763999999999996</v>
      </c>
      <c r="I263" s="81">
        <f>VLOOKUP($A24,'Template IF 2'!$B$3:$HI$110,181,FALSE)</f>
        <v>69.322999999999993</v>
      </c>
      <c r="J263" s="81">
        <f>VLOOKUP($A24,'Template IF 2'!$B$3:$HI$110,182,FALSE)</f>
        <v>41.152999999999999</v>
      </c>
      <c r="K263" s="81">
        <f>VLOOKUP($A24,'Template IF 2'!$B$3:$HI$110,183,FALSE)</f>
        <v>42.631999999999998</v>
      </c>
      <c r="L263" s="60"/>
    </row>
    <row r="264" spans="1:24" ht="14.1" customHeight="1" x14ac:dyDescent="0.2">
      <c r="A264" s="53" t="str">
        <f>A26</f>
        <v>Big Stone County</v>
      </c>
      <c r="B264" s="145">
        <f>VLOOKUP($A26,'Template IF 2'!$B$3:$HI$110,176,FALSE)</f>
        <v>44</v>
      </c>
      <c r="C264" s="145">
        <f>VLOOKUP($A26,'Template IF 2'!$B$3:$HI$110,177,FALSE)</f>
        <v>39</v>
      </c>
      <c r="D264" s="145">
        <f>VLOOKUP($A26,'Template IF 2'!$B$3:$HI$110,178,FALSE)</f>
        <v>27</v>
      </c>
      <c r="E264" s="145">
        <f>VLOOKUP($A26,'Template IF 2'!$B$3:$HI$110,179,FALSE)</f>
        <v>26</v>
      </c>
      <c r="F264" s="71"/>
      <c r="G264" s="71"/>
      <c r="H264" s="82">
        <f>VLOOKUP($A26,'Template IF 2'!$B$3:$HI$110,180,FALSE)</f>
        <v>69.108999999999995</v>
      </c>
      <c r="I264" s="82">
        <f>VLOOKUP($A26,'Template IF 2'!$B$3:$HI$110,181,FALSE)</f>
        <v>62.314</v>
      </c>
      <c r="J264" s="82">
        <f>VLOOKUP($A26,'Template IF 2'!$B$3:$HI$110,182,FALSE)</f>
        <v>39.122</v>
      </c>
      <c r="K264" s="82">
        <f>VLOOKUP($A26,'Template IF 2'!$B$3:$HI$110,183,FALSE)</f>
        <v>39.055999999999997</v>
      </c>
      <c r="L264" s="60"/>
      <c r="N264"/>
      <c r="O264"/>
    </row>
    <row r="265" spans="1:24" ht="13.5" customHeight="1" x14ac:dyDescent="0.2">
      <c r="A265" s="64"/>
      <c r="B265" s="261" t="s">
        <v>41</v>
      </c>
      <c r="C265" s="261"/>
      <c r="D265" s="261"/>
      <c r="E265" s="261"/>
      <c r="F265" s="83"/>
      <c r="G265" s="54"/>
      <c r="H265" s="261" t="s">
        <v>155</v>
      </c>
      <c r="I265" s="261"/>
      <c r="J265" s="261"/>
      <c r="K265" s="261"/>
      <c r="L265" s="83"/>
      <c r="N265"/>
      <c r="O265"/>
    </row>
    <row r="266" spans="1:24" x14ac:dyDescent="0.2">
      <c r="A266" s="53"/>
      <c r="B266" s="84" t="s">
        <v>498</v>
      </c>
      <c r="C266" s="84" t="s">
        <v>499</v>
      </c>
      <c r="D266" s="84" t="s">
        <v>500</v>
      </c>
      <c r="E266" s="84" t="s">
        <v>501</v>
      </c>
      <c r="F266" s="55"/>
      <c r="G266" s="55"/>
      <c r="H266" s="84" t="s">
        <v>498</v>
      </c>
      <c r="I266" s="84" t="s">
        <v>499</v>
      </c>
      <c r="J266" s="84" t="s">
        <v>500</v>
      </c>
      <c r="K266" s="84" t="s">
        <v>501</v>
      </c>
      <c r="L266" s="27"/>
      <c r="N266"/>
      <c r="O266"/>
    </row>
    <row r="267" spans="1:24" ht="14.1" customHeight="1" x14ac:dyDescent="0.2">
      <c r="A267" s="64" t="s">
        <v>22</v>
      </c>
      <c r="B267" s="124">
        <f>'Template IF 2'!GC3</f>
        <v>8913</v>
      </c>
      <c r="C267" s="124">
        <f>'Template IF 2'!GD3</f>
        <v>9653</v>
      </c>
      <c r="D267" s="124">
        <f>'Template IF 2'!GE3</f>
        <v>10785</v>
      </c>
      <c r="E267" s="124">
        <f>'Template IF 2'!GF3</f>
        <v>12985</v>
      </c>
      <c r="F267" s="60"/>
      <c r="G267" s="60"/>
      <c r="H267" s="80">
        <f>'Template IF 2'!GG3</f>
        <v>35.716999999999999</v>
      </c>
      <c r="I267" s="80">
        <f>'Template IF 2'!GH3</f>
        <v>35.543999999999997</v>
      </c>
      <c r="J267" s="80">
        <f>'Template IF 2'!GI3</f>
        <v>37.847999999999999</v>
      </c>
      <c r="K267" s="80">
        <f>'Template IF 2'!GJ3</f>
        <v>42.448</v>
      </c>
      <c r="L267" s="60"/>
    </row>
    <row r="268" spans="1:24" ht="14.1" customHeight="1" x14ac:dyDescent="0.2">
      <c r="A268" s="64" t="str">
        <f>A16</f>
        <v>Aitkin, Itasca, Koochiching</v>
      </c>
      <c r="B268" s="144">
        <f>VLOOKUP($A16,'Template IF 2'!$B$3:$HI$110,184,FALSE)</f>
        <v>205</v>
      </c>
      <c r="C268" s="144">
        <f>VLOOKUP($A16,'Template IF 2'!$B$3:$HI$110,185,FALSE)</f>
        <v>197</v>
      </c>
      <c r="D268" s="144">
        <f>VLOOKUP($A16,'Template IF 2'!$B$3:$HI$110,186,FALSE)</f>
        <v>239</v>
      </c>
      <c r="E268" s="144">
        <f>VLOOKUP($A16,'Template IF 2'!$B$3:$HI$110,187,FALSE)</f>
        <v>312</v>
      </c>
      <c r="F268" s="60"/>
      <c r="G268" s="60"/>
      <c r="H268" s="81">
        <f>VLOOKUP($A16,'Template IF 2'!$B$3:$HI$110,188,FALSE)</f>
        <v>50.923000000000002</v>
      </c>
      <c r="I268" s="81">
        <f>VLOOKUP($A16,'Template IF 2'!$B$3:$HI$110,189,FALSE)</f>
        <v>45.201000000000001</v>
      </c>
      <c r="J268" s="81">
        <f>VLOOKUP($A16,'Template IF 2'!$B$3:$HI$110,190,FALSE)</f>
        <v>53.558999999999997</v>
      </c>
      <c r="K268" s="81">
        <f>VLOOKUP($A16,'Template IF 2'!$B$3:$HI$110,191,FALSE)</f>
        <v>64.376999999999995</v>
      </c>
      <c r="L268" s="60"/>
    </row>
    <row r="269" spans="1:24" ht="14.1" customHeight="1" x14ac:dyDescent="0.2">
      <c r="A269" s="64" t="str">
        <f>A18</f>
        <v>Anoka County</v>
      </c>
      <c r="B269" s="144">
        <f>VLOOKUP($A18,'Template IF 2'!$B$3:$HI$110,184,FALSE)</f>
        <v>407</v>
      </c>
      <c r="C269" s="144">
        <f>VLOOKUP($A18,'Template IF 2'!$B$3:$HI$110,185,FALSE)</f>
        <v>496</v>
      </c>
      <c r="D269" s="144">
        <f>VLOOKUP($A18,'Template IF 2'!$B$3:$HI$110,186,FALSE)</f>
        <v>535</v>
      </c>
      <c r="E269" s="144">
        <f>VLOOKUP($A18,'Template IF 2'!$B$3:$HI$110,187,FALSE)</f>
        <v>621</v>
      </c>
      <c r="F269" s="60"/>
      <c r="G269" s="60"/>
      <c r="H269" s="81">
        <f>VLOOKUP($A18,'Template IF 2'!$B$3:$HI$110,188,FALSE)</f>
        <v>37.607999999999997</v>
      </c>
      <c r="I269" s="81">
        <f>VLOOKUP($A18,'Template IF 2'!$B$3:$HI$110,189,FALSE)</f>
        <v>38.326000000000001</v>
      </c>
      <c r="J269" s="81">
        <f>VLOOKUP($A18,'Template IF 2'!$B$3:$HI$110,190,FALSE)</f>
        <v>37.421999999999997</v>
      </c>
      <c r="K269" s="81">
        <f>VLOOKUP($A18,'Template IF 2'!$B$3:$HI$110,191,FALSE)</f>
        <v>38.213999999999999</v>
      </c>
      <c r="L269" s="60"/>
    </row>
    <row r="270" spans="1:24" ht="14.1" customHeight="1" x14ac:dyDescent="0.2">
      <c r="A270" s="64" t="str">
        <f>A20</f>
        <v>Becker County</v>
      </c>
      <c r="B270" s="144">
        <f>VLOOKUP($A20,'Template IF 2'!$B$3:$HI$110,184,FALSE)</f>
        <v>95</v>
      </c>
      <c r="C270" s="144">
        <f>VLOOKUP($A20,'Template IF 2'!$B$3:$HI$110,185,FALSE)</f>
        <v>79</v>
      </c>
      <c r="D270" s="144">
        <f>VLOOKUP($A20,'Template IF 2'!$B$3:$HI$110,186,FALSE)</f>
        <v>88</v>
      </c>
      <c r="E270" s="144">
        <f>VLOOKUP($A20,'Template IF 2'!$B$3:$HI$110,187,FALSE)</f>
        <v>95</v>
      </c>
      <c r="F270" s="60"/>
      <c r="G270" s="60"/>
      <c r="H270" s="81">
        <f>VLOOKUP($A20,'Template IF 2'!$B$3:$HI$110,188,FALSE)</f>
        <v>59.345999999999997</v>
      </c>
      <c r="I270" s="81">
        <f>VLOOKUP($A20,'Template IF 2'!$B$3:$HI$110,189,FALSE)</f>
        <v>46.843000000000004</v>
      </c>
      <c r="J270" s="81">
        <f>VLOOKUP($A20,'Template IF 2'!$B$3:$HI$110,190,FALSE)</f>
        <v>50.926000000000002</v>
      </c>
      <c r="K270" s="81">
        <f>VLOOKUP($A20,'Template IF 2'!$B$3:$HI$110,191,FALSE)</f>
        <v>49.069000000000003</v>
      </c>
      <c r="L270" s="60"/>
    </row>
    <row r="271" spans="1:24" ht="14.1" customHeight="1" x14ac:dyDescent="0.2">
      <c r="A271" s="64" t="str">
        <f>A22</f>
        <v>Beltrami County</v>
      </c>
      <c r="B271" s="144">
        <f>VLOOKUP($A22,'Template IF 2'!$B$3:$HI$110,184,FALSE)</f>
        <v>106</v>
      </c>
      <c r="C271" s="144">
        <f>VLOOKUP($A22,'Template IF 2'!$B$3:$HI$110,185,FALSE)</f>
        <v>125</v>
      </c>
      <c r="D271" s="144">
        <f>VLOOKUP($A22,'Template IF 2'!$B$3:$HI$110,186,FALSE)</f>
        <v>115</v>
      </c>
      <c r="E271" s="144">
        <f>VLOOKUP($A22,'Template IF 2'!$B$3:$HI$110,187,FALSE)</f>
        <v>120</v>
      </c>
      <c r="F271" s="60"/>
      <c r="G271" s="60"/>
      <c r="H271" s="81">
        <f>VLOOKUP($A22,'Template IF 2'!$B$3:$HI$110,188,FALSE)</f>
        <v>54.966000000000001</v>
      </c>
      <c r="I271" s="81">
        <f>VLOOKUP($A22,'Template IF 2'!$B$3:$HI$110,189,FALSE)</f>
        <v>60.445</v>
      </c>
      <c r="J271" s="81">
        <f>VLOOKUP($A22,'Template IF 2'!$B$3:$HI$110,190,FALSE)</f>
        <v>53.828000000000003</v>
      </c>
      <c r="K271" s="81">
        <f>VLOOKUP($A22,'Template IF 2'!$B$3:$HI$110,191,FALSE)</f>
        <v>53.639000000000003</v>
      </c>
      <c r="L271" s="60"/>
    </row>
    <row r="272" spans="1:24" ht="14.1" customHeight="1" x14ac:dyDescent="0.2">
      <c r="A272" s="64" t="str">
        <f>A24</f>
        <v>Benton County</v>
      </c>
      <c r="B272" s="144">
        <f>VLOOKUP($A24,'Template IF 2'!$B$3:$HI$110,184,FALSE)</f>
        <v>79</v>
      </c>
      <c r="C272" s="144">
        <f>VLOOKUP($A24,'Template IF 2'!$B$3:$HI$110,185,FALSE)</f>
        <v>63</v>
      </c>
      <c r="D272" s="144">
        <f>VLOOKUP($A24,'Template IF 2'!$B$3:$HI$110,186,FALSE)</f>
        <v>69</v>
      </c>
      <c r="E272" s="144">
        <f>VLOOKUP($A24,'Template IF 2'!$B$3:$HI$110,187,FALSE)</f>
        <v>101</v>
      </c>
      <c r="F272" s="60"/>
      <c r="G272" s="60"/>
      <c r="H272" s="81">
        <f>VLOOKUP($A24,'Template IF 2'!$B$3:$HI$110,188,FALSE)</f>
        <v>44.613</v>
      </c>
      <c r="I272" s="81">
        <f>VLOOKUP($A24,'Template IF 2'!$B$3:$HI$110,189,FALSE)</f>
        <v>33.226999999999997</v>
      </c>
      <c r="J272" s="81">
        <f>VLOOKUP($A24,'Template IF 2'!$B$3:$HI$110,190,FALSE)</f>
        <v>34.713000000000001</v>
      </c>
      <c r="K272" s="81">
        <f>VLOOKUP($A24,'Template IF 2'!$B$3:$HI$110,191,FALSE)</f>
        <v>44.045999999999999</v>
      </c>
      <c r="L272" s="60"/>
    </row>
    <row r="273" spans="1:24" ht="14.1" customHeight="1" x14ac:dyDescent="0.2">
      <c r="A273" s="53" t="str">
        <f>A26</f>
        <v>Big Stone County</v>
      </c>
      <c r="B273" s="145">
        <f>VLOOKUP($A26,'Template IF 2'!$B$3:$HI$110,184,FALSE)</f>
        <v>15</v>
      </c>
      <c r="C273" s="145">
        <f>VLOOKUP($A26,'Template IF 2'!$B$3:$HI$110,185,FALSE)</f>
        <v>20</v>
      </c>
      <c r="D273" s="145">
        <f>VLOOKUP($A26,'Template IF 2'!$B$3:$HI$110,186,FALSE)</f>
        <v>15</v>
      </c>
      <c r="E273" s="145">
        <f>VLOOKUP($A26,'Template IF 2'!$B$3:$HI$110,187,FALSE)</f>
        <v>21</v>
      </c>
      <c r="F273" s="71"/>
      <c r="G273" s="71"/>
      <c r="H273" s="82">
        <f>VLOOKUP($A26,'Template IF 2'!$B$3:$HI$110,188,FALSE)</f>
        <v>45.064999999999998</v>
      </c>
      <c r="I273" s="82">
        <f>VLOOKUP($A26,'Template IF 2'!$B$3:$HI$110,189,FALSE)</f>
        <v>63.628</v>
      </c>
      <c r="J273" s="82">
        <f>VLOOKUP($A26,'Template IF 2'!$B$3:$HI$110,190,FALSE)</f>
        <v>38.247</v>
      </c>
      <c r="K273" s="82">
        <f>VLOOKUP($A26,'Template IF 2'!$B$3:$HI$110,191,FALSE)</f>
        <v>59.420999999999999</v>
      </c>
      <c r="L273" s="60"/>
    </row>
    <row r="274" spans="1:24" x14ac:dyDescent="0.2">
      <c r="A274" s="74" t="s">
        <v>156</v>
      </c>
      <c r="B274" s="60"/>
      <c r="C274" s="60"/>
      <c r="D274" s="60"/>
      <c r="E274" s="60"/>
      <c r="F274" s="60"/>
      <c r="G274" s="60"/>
      <c r="H274" s="60"/>
      <c r="I274" s="60"/>
      <c r="J274" s="60"/>
      <c r="K274" s="60"/>
      <c r="L274" s="60"/>
      <c r="N274"/>
      <c r="O274"/>
    </row>
    <row r="275" spans="1:24" x14ac:dyDescent="0.2">
      <c r="A275" s="74"/>
      <c r="B275" s="60"/>
      <c r="C275" s="60"/>
      <c r="D275" s="60"/>
      <c r="E275" s="60"/>
      <c r="F275" s="60"/>
      <c r="G275" s="60"/>
      <c r="H275" s="60"/>
      <c r="I275" s="60"/>
      <c r="J275" s="60"/>
      <c r="K275" s="60"/>
      <c r="L275" s="60"/>
      <c r="N275"/>
      <c r="O275"/>
    </row>
    <row r="276" spans="1:24" x14ac:dyDescent="0.2">
      <c r="A276" s="74"/>
      <c r="B276" s="60"/>
      <c r="C276" s="60"/>
      <c r="D276" s="60"/>
      <c r="E276" s="60"/>
      <c r="F276" s="60"/>
      <c r="G276" s="60"/>
      <c r="H276" s="60"/>
      <c r="I276" s="60"/>
      <c r="J276" s="60"/>
      <c r="K276" s="60"/>
      <c r="L276" s="60"/>
      <c r="N276"/>
      <c r="O276"/>
    </row>
    <row r="277" spans="1:24" x14ac:dyDescent="0.2">
      <c r="A277" s="74"/>
      <c r="B277" s="60"/>
      <c r="C277" s="60"/>
      <c r="D277" s="60"/>
      <c r="E277" s="60"/>
      <c r="F277" s="60"/>
      <c r="G277" s="60"/>
      <c r="H277" s="60"/>
      <c r="I277" s="60"/>
      <c r="J277" s="60"/>
      <c r="K277" s="60"/>
      <c r="L277" s="60"/>
      <c r="N277"/>
      <c r="O277"/>
    </row>
    <row r="278" spans="1:24" x14ac:dyDescent="0.2">
      <c r="A278" s="74"/>
      <c r="B278" s="60"/>
      <c r="C278" s="60"/>
      <c r="D278" s="60"/>
      <c r="E278" s="60"/>
      <c r="F278" s="60"/>
      <c r="G278" s="60"/>
      <c r="H278" s="60"/>
      <c r="I278" s="60"/>
      <c r="J278" s="60"/>
      <c r="K278" s="60"/>
      <c r="L278" s="60"/>
      <c r="M278" s="24"/>
      <c r="N278"/>
      <c r="O278"/>
      <c r="P278" s="24"/>
      <c r="Q278" s="24"/>
      <c r="S278" s="24"/>
      <c r="T278" s="24"/>
      <c r="U278" s="24"/>
      <c r="V278" s="24"/>
      <c r="X278" s="24"/>
    </row>
    <row r="279" spans="1:24" x14ac:dyDescent="0.2">
      <c r="A279" s="74"/>
      <c r="B279" s="60"/>
      <c r="C279" s="60"/>
      <c r="D279" s="60"/>
      <c r="E279" s="60"/>
      <c r="F279" s="60"/>
      <c r="G279" s="60"/>
      <c r="H279" s="60"/>
      <c r="I279" s="60"/>
      <c r="J279" s="60"/>
      <c r="K279" s="60"/>
      <c r="L279" s="60"/>
      <c r="M279" s="24"/>
      <c r="N279"/>
      <c r="O279"/>
      <c r="P279" s="24"/>
      <c r="Q279" s="24"/>
      <c r="S279" s="24"/>
      <c r="T279" s="24"/>
      <c r="U279" s="24"/>
      <c r="V279" s="24"/>
      <c r="X279" s="24"/>
    </row>
    <row r="280" spans="1:24" x14ac:dyDescent="0.2">
      <c r="A280" s="74"/>
      <c r="B280" s="60"/>
      <c r="C280" s="60"/>
      <c r="D280" s="60"/>
      <c r="E280" s="60"/>
      <c r="F280" s="60"/>
      <c r="G280" s="60"/>
      <c r="H280" s="60"/>
      <c r="I280" s="60"/>
      <c r="J280" s="60"/>
      <c r="K280" s="60"/>
      <c r="L280" s="60"/>
      <c r="N280"/>
      <c r="O280"/>
    </row>
    <row r="281" spans="1:24" x14ac:dyDescent="0.2">
      <c r="A281" s="74"/>
      <c r="B281" s="60"/>
      <c r="C281" s="60"/>
      <c r="D281" s="60"/>
      <c r="E281" s="60"/>
      <c r="F281" s="60"/>
      <c r="G281" s="60"/>
      <c r="H281" s="60"/>
      <c r="I281" s="60"/>
      <c r="J281" s="60"/>
      <c r="K281" s="60"/>
      <c r="L281" s="60"/>
      <c r="N281"/>
      <c r="O281"/>
    </row>
    <row r="282" spans="1:24" x14ac:dyDescent="0.2">
      <c r="A282" s="74"/>
      <c r="B282" s="60"/>
      <c r="C282" s="60"/>
      <c r="D282" s="60"/>
      <c r="E282" s="60"/>
      <c r="F282" s="60"/>
      <c r="G282" s="60"/>
      <c r="H282" s="60"/>
      <c r="I282" s="60"/>
      <c r="J282" s="60"/>
      <c r="K282" s="60"/>
      <c r="L282" s="60"/>
      <c r="N282"/>
      <c r="O282"/>
    </row>
    <row r="283" spans="1:24" x14ac:dyDescent="0.2">
      <c r="A283" s="74"/>
      <c r="B283" s="60"/>
      <c r="C283" s="60"/>
      <c r="D283" s="60"/>
      <c r="E283" s="60"/>
      <c r="F283" s="60"/>
      <c r="G283" s="60"/>
      <c r="H283" s="60"/>
      <c r="I283" s="60"/>
      <c r="J283" s="60"/>
      <c r="K283" s="60"/>
      <c r="L283" s="60"/>
      <c r="N283"/>
      <c r="O283"/>
    </row>
    <row r="284" spans="1:24" x14ac:dyDescent="0.2">
      <c r="A284" s="74"/>
      <c r="B284" s="60"/>
      <c r="C284" s="60"/>
      <c r="D284" s="60"/>
      <c r="E284" s="60"/>
      <c r="F284" s="60"/>
      <c r="G284" s="60"/>
      <c r="H284" s="60"/>
      <c r="I284" s="60"/>
      <c r="J284" s="60"/>
      <c r="K284" s="60"/>
      <c r="L284" s="60"/>
      <c r="N284"/>
      <c r="O284"/>
    </row>
    <row r="285" spans="1:24" x14ac:dyDescent="0.2">
      <c r="A285" s="74"/>
      <c r="B285" s="60"/>
      <c r="C285" s="60"/>
      <c r="D285" s="60"/>
      <c r="E285" s="60"/>
      <c r="F285" s="60"/>
      <c r="G285" s="60"/>
      <c r="H285" s="60"/>
      <c r="I285" s="60"/>
      <c r="J285" s="60"/>
      <c r="K285" s="60"/>
      <c r="L285" s="60"/>
      <c r="N285"/>
      <c r="O285"/>
    </row>
    <row r="286" spans="1:24" x14ac:dyDescent="0.2">
      <c r="A286" s="74"/>
      <c r="B286" s="60"/>
      <c r="C286" s="60"/>
      <c r="D286" s="60"/>
      <c r="E286" s="60"/>
      <c r="F286" s="60"/>
      <c r="G286" s="60"/>
      <c r="H286" s="60"/>
      <c r="I286" s="60"/>
      <c r="J286" s="60"/>
      <c r="K286" s="60"/>
      <c r="L286" s="60"/>
      <c r="N286"/>
      <c r="O286"/>
    </row>
    <row r="287" spans="1:24" x14ac:dyDescent="0.2">
      <c r="A287" s="74"/>
      <c r="B287" s="60"/>
      <c r="C287" s="60"/>
      <c r="D287" s="60"/>
      <c r="E287" s="60"/>
      <c r="F287" s="60"/>
      <c r="G287" s="60"/>
      <c r="H287" s="60"/>
      <c r="I287" s="60"/>
      <c r="J287" s="60"/>
      <c r="K287" s="60"/>
      <c r="L287" s="60"/>
      <c r="N287"/>
      <c r="O287"/>
    </row>
    <row r="288" spans="1:24" x14ac:dyDescent="0.2">
      <c r="A288" s="74"/>
      <c r="B288" s="60"/>
      <c r="C288" s="60"/>
      <c r="D288" s="60"/>
      <c r="E288" s="60"/>
      <c r="F288" s="60"/>
      <c r="G288" s="60"/>
      <c r="H288" s="60"/>
      <c r="I288" s="60"/>
      <c r="J288" s="60"/>
      <c r="K288" s="60"/>
      <c r="L288" s="60"/>
      <c r="N288"/>
      <c r="O288"/>
    </row>
    <row r="289" spans="1:15" x14ac:dyDescent="0.2">
      <c r="A289" s="74"/>
      <c r="B289" s="60"/>
      <c r="C289" s="60"/>
      <c r="D289" s="60"/>
      <c r="E289" s="60"/>
      <c r="F289" s="60"/>
      <c r="G289" s="60"/>
      <c r="H289" s="60"/>
      <c r="I289" s="60"/>
      <c r="J289" s="60"/>
      <c r="K289" s="60"/>
      <c r="L289" s="60"/>
      <c r="N289"/>
      <c r="O289"/>
    </row>
    <row r="290" spans="1:15" x14ac:dyDescent="0.2">
      <c r="A290" s="74"/>
      <c r="B290" s="60"/>
      <c r="C290" s="60"/>
      <c r="D290" s="60"/>
      <c r="E290" s="60"/>
      <c r="F290" s="60"/>
      <c r="G290" s="60"/>
      <c r="H290" s="60"/>
      <c r="I290" s="60"/>
      <c r="J290" s="60"/>
      <c r="K290" s="60"/>
      <c r="L290" s="60"/>
      <c r="N290"/>
      <c r="O290"/>
    </row>
    <row r="291" spans="1:15" x14ac:dyDescent="0.2">
      <c r="A291" s="74"/>
      <c r="B291" s="60"/>
      <c r="C291" s="60"/>
      <c r="D291" s="60"/>
      <c r="E291" s="60"/>
      <c r="F291" s="60"/>
      <c r="G291" s="60"/>
      <c r="H291" s="60"/>
      <c r="I291" s="60"/>
      <c r="J291" s="60"/>
      <c r="K291" s="60"/>
      <c r="L291" s="60"/>
      <c r="N291"/>
      <c r="O291"/>
    </row>
    <row r="292" spans="1:15" x14ac:dyDescent="0.2">
      <c r="A292" s="74"/>
      <c r="B292" s="60"/>
      <c r="C292" s="60"/>
      <c r="D292" s="60"/>
      <c r="E292" s="60"/>
      <c r="F292" s="60"/>
      <c r="G292" s="60"/>
      <c r="H292" s="60"/>
      <c r="I292" s="60"/>
      <c r="J292" s="60"/>
      <c r="K292" s="60"/>
      <c r="L292" s="60"/>
      <c r="N292"/>
      <c r="O292"/>
    </row>
    <row r="293" spans="1:15" x14ac:dyDescent="0.2">
      <c r="A293" s="74"/>
      <c r="B293" s="60"/>
      <c r="C293" s="60"/>
      <c r="D293" s="60"/>
      <c r="E293" s="60"/>
      <c r="F293" s="60"/>
      <c r="G293" s="60"/>
      <c r="H293" s="60"/>
      <c r="I293" s="60"/>
      <c r="J293" s="60"/>
      <c r="K293" s="60"/>
      <c r="L293" s="60"/>
      <c r="N293"/>
      <c r="O293"/>
    </row>
    <row r="294" spans="1:15" x14ac:dyDescent="0.2">
      <c r="A294" s="74"/>
      <c r="B294" s="60"/>
      <c r="C294" s="60"/>
      <c r="D294" s="60"/>
      <c r="E294" s="60"/>
      <c r="F294" s="60"/>
      <c r="G294" s="60"/>
      <c r="H294" s="60"/>
      <c r="I294" s="60"/>
      <c r="J294" s="60"/>
      <c r="K294" s="60"/>
      <c r="L294" s="60"/>
      <c r="N294"/>
      <c r="O294"/>
    </row>
    <row r="295" spans="1:15" x14ac:dyDescent="0.2">
      <c r="A295" s="74"/>
      <c r="B295" s="60"/>
      <c r="C295" s="60"/>
      <c r="D295" s="60"/>
      <c r="E295" s="60"/>
      <c r="F295" s="60"/>
      <c r="G295" s="60"/>
      <c r="H295" s="60"/>
      <c r="I295" s="60"/>
      <c r="J295" s="60"/>
      <c r="K295" s="60"/>
      <c r="L295" s="60"/>
      <c r="N295"/>
      <c r="O295"/>
    </row>
    <row r="296" spans="1:15" x14ac:dyDescent="0.2">
      <c r="A296" s="74"/>
      <c r="B296" s="60"/>
      <c r="C296" s="60"/>
      <c r="D296" s="60"/>
      <c r="E296" s="60"/>
      <c r="F296" s="60"/>
      <c r="G296" s="60"/>
      <c r="H296" s="60"/>
      <c r="I296" s="60"/>
      <c r="J296" s="60"/>
      <c r="K296" s="60"/>
      <c r="L296" s="60"/>
      <c r="N296"/>
      <c r="O296"/>
    </row>
    <row r="297" spans="1:15" x14ac:dyDescent="0.2">
      <c r="A297" s="74"/>
      <c r="B297" s="60"/>
      <c r="C297" s="60"/>
      <c r="D297" s="60"/>
      <c r="E297" s="60"/>
      <c r="F297" s="60"/>
      <c r="G297" s="60"/>
      <c r="H297" s="60"/>
      <c r="I297" s="60"/>
      <c r="J297" s="60"/>
      <c r="K297" s="60"/>
      <c r="L297" s="60"/>
      <c r="N297"/>
      <c r="O297"/>
    </row>
    <row r="298" spans="1:15" x14ac:dyDescent="0.2">
      <c r="A298" s="74"/>
      <c r="B298" s="60"/>
      <c r="C298" s="60"/>
      <c r="D298" s="60"/>
      <c r="E298" s="60"/>
      <c r="F298" s="60"/>
      <c r="G298" s="60"/>
      <c r="H298" s="60"/>
      <c r="I298" s="60"/>
      <c r="J298" s="60"/>
      <c r="K298" s="60"/>
      <c r="L298" s="60"/>
      <c r="N298"/>
      <c r="O298"/>
    </row>
    <row r="299" spans="1:15" x14ac:dyDescent="0.2">
      <c r="A299" s="74"/>
      <c r="B299" s="60"/>
      <c r="C299" s="60"/>
      <c r="D299" s="60"/>
      <c r="E299" s="60"/>
      <c r="F299" s="60"/>
      <c r="G299" s="60"/>
      <c r="H299" s="60"/>
      <c r="I299" s="60"/>
      <c r="J299" s="60"/>
      <c r="K299" s="60"/>
      <c r="L299" s="60"/>
      <c r="N299"/>
      <c r="O299"/>
    </row>
    <row r="300" spans="1:15" x14ac:dyDescent="0.2">
      <c r="A300" s="74"/>
      <c r="B300" s="60"/>
      <c r="C300" s="60"/>
      <c r="D300" s="60"/>
      <c r="E300" s="60"/>
      <c r="F300" s="60"/>
      <c r="G300" s="60"/>
      <c r="H300" s="60"/>
      <c r="I300" s="60"/>
      <c r="J300" s="60"/>
      <c r="K300" s="60"/>
      <c r="L300" s="60"/>
      <c r="N300"/>
      <c r="O300"/>
    </row>
    <row r="301" spans="1:15" x14ac:dyDescent="0.2">
      <c r="A301" s="74"/>
      <c r="B301" s="60"/>
      <c r="C301" s="60"/>
      <c r="D301" s="60"/>
      <c r="E301" s="60"/>
      <c r="F301" s="60"/>
      <c r="G301" s="60"/>
      <c r="H301" s="60"/>
      <c r="I301" s="60"/>
      <c r="J301" s="60"/>
      <c r="K301" s="60"/>
      <c r="L301" s="60"/>
      <c r="N301"/>
      <c r="O301"/>
    </row>
    <row r="302" spans="1:15" x14ac:dyDescent="0.2">
      <c r="A302" s="74"/>
      <c r="B302" s="60"/>
      <c r="C302" s="60"/>
      <c r="D302" s="60"/>
      <c r="E302" s="60"/>
      <c r="F302" s="60"/>
      <c r="G302" s="60"/>
      <c r="H302" s="60"/>
      <c r="I302" s="60"/>
      <c r="J302" s="60"/>
      <c r="K302" s="60"/>
      <c r="L302" s="60"/>
      <c r="N302"/>
      <c r="O302"/>
    </row>
    <row r="303" spans="1:15" x14ac:dyDescent="0.2">
      <c r="A303" s="74"/>
      <c r="B303" s="60"/>
      <c r="C303" s="60"/>
      <c r="D303" s="60"/>
      <c r="E303" s="60"/>
      <c r="F303" s="60"/>
      <c r="G303" s="60"/>
      <c r="H303" s="60"/>
      <c r="I303" s="60"/>
      <c r="J303" s="60"/>
      <c r="K303" s="60"/>
      <c r="L303" s="60"/>
      <c r="N303"/>
      <c r="O303"/>
    </row>
    <row r="304" spans="1:15" x14ac:dyDescent="0.2">
      <c r="A304" s="74"/>
      <c r="B304" s="60"/>
      <c r="C304" s="60"/>
      <c r="D304" s="60"/>
      <c r="E304" s="60"/>
      <c r="F304" s="60"/>
      <c r="G304" s="60"/>
      <c r="H304" s="60"/>
      <c r="I304" s="60"/>
      <c r="J304" s="60"/>
      <c r="K304" s="60"/>
      <c r="L304" s="60"/>
      <c r="N304"/>
      <c r="O304"/>
    </row>
    <row r="305" spans="1:52" x14ac:dyDescent="0.2">
      <c r="A305" s="74"/>
      <c r="B305" s="60"/>
      <c r="C305" s="60"/>
      <c r="D305" s="60"/>
      <c r="E305" s="60"/>
      <c r="F305" s="60"/>
      <c r="G305" s="60"/>
      <c r="H305" s="60"/>
      <c r="I305" s="60"/>
      <c r="J305" s="60"/>
      <c r="K305" s="60"/>
      <c r="L305" s="60"/>
      <c r="N305"/>
      <c r="O305"/>
    </row>
    <row r="306" spans="1:52" x14ac:dyDescent="0.2">
      <c r="A306" s="74" t="s">
        <v>157</v>
      </c>
      <c r="B306" s="60"/>
      <c r="C306" s="60"/>
      <c r="D306" s="60"/>
      <c r="E306" s="60"/>
      <c r="F306" s="60"/>
      <c r="G306" s="60"/>
      <c r="H306" s="60"/>
      <c r="I306" s="60"/>
      <c r="J306" s="60"/>
      <c r="K306" s="60"/>
      <c r="L306" s="60"/>
      <c r="N306"/>
      <c r="O306"/>
    </row>
    <row r="307" spans="1:52" x14ac:dyDescent="0.2">
      <c r="A307" s="74" t="s">
        <v>137</v>
      </c>
      <c r="B307" s="60"/>
      <c r="C307" s="60"/>
      <c r="D307" s="60"/>
      <c r="E307" s="60"/>
      <c r="F307" s="60"/>
      <c r="G307" s="60"/>
      <c r="H307" s="60"/>
      <c r="I307" s="60"/>
      <c r="J307" s="60"/>
      <c r="K307" s="60"/>
      <c r="L307" s="60"/>
      <c r="N307"/>
      <c r="O307"/>
    </row>
    <row r="308" spans="1:52" x14ac:dyDescent="0.2">
      <c r="A308" s="74" t="s">
        <v>158</v>
      </c>
      <c r="B308" s="60"/>
      <c r="C308" s="60"/>
      <c r="D308" s="60"/>
      <c r="E308" s="60"/>
      <c r="F308" s="60"/>
      <c r="G308" s="60"/>
      <c r="H308" s="60"/>
      <c r="I308" s="60"/>
      <c r="J308" s="60"/>
      <c r="K308" s="60"/>
      <c r="L308" s="60"/>
      <c r="N308"/>
      <c r="O308"/>
    </row>
    <row r="309" spans="1:52" x14ac:dyDescent="0.2">
      <c r="A309" s="92" t="s">
        <v>159</v>
      </c>
      <c r="B309" s="60"/>
      <c r="C309" s="60"/>
      <c r="D309" s="60"/>
      <c r="E309" s="60"/>
      <c r="F309" s="60"/>
      <c r="G309" s="60"/>
      <c r="H309" s="60"/>
      <c r="I309" s="60"/>
      <c r="J309" s="60"/>
      <c r="K309" s="60"/>
      <c r="L309" s="60"/>
      <c r="N309"/>
      <c r="O309"/>
    </row>
    <row r="310" spans="1:52" x14ac:dyDescent="0.2">
      <c r="A310" s="92" t="s">
        <v>160</v>
      </c>
      <c r="B310" s="60"/>
      <c r="C310" s="60"/>
      <c r="D310" s="60"/>
      <c r="E310" s="60"/>
      <c r="F310" s="60"/>
      <c r="G310" s="60"/>
      <c r="H310" s="60"/>
      <c r="I310" s="60"/>
      <c r="J310" s="60"/>
      <c r="K310" s="60"/>
      <c r="L310" s="60"/>
      <c r="N310"/>
      <c r="O310"/>
    </row>
    <row r="311" spans="1:52" x14ac:dyDescent="0.2">
      <c r="A311" s="74"/>
      <c r="B311" s="60"/>
      <c r="C311" s="60"/>
      <c r="D311" s="60"/>
      <c r="E311" s="60"/>
      <c r="F311" s="60"/>
      <c r="G311" s="60"/>
      <c r="H311" s="60"/>
      <c r="I311" s="60"/>
      <c r="J311" s="60"/>
      <c r="K311" s="60"/>
      <c r="L311" s="60"/>
      <c r="N311"/>
      <c r="O311"/>
    </row>
    <row r="312" spans="1:52" x14ac:dyDescent="0.2">
      <c r="A312" s="74"/>
      <c r="B312" s="60"/>
      <c r="C312" s="60"/>
      <c r="D312" s="60"/>
      <c r="E312" s="60"/>
      <c r="F312" s="60"/>
      <c r="G312" s="60"/>
      <c r="H312" s="60"/>
      <c r="I312" s="60"/>
      <c r="J312" s="60"/>
      <c r="K312" s="60"/>
      <c r="L312" s="60"/>
      <c r="N312"/>
      <c r="O312"/>
    </row>
    <row r="313" spans="1:52" x14ac:dyDescent="0.2">
      <c r="A313" s="74"/>
      <c r="B313" s="60"/>
      <c r="C313" s="60"/>
      <c r="D313" s="60"/>
      <c r="E313" s="60"/>
      <c r="F313" s="60"/>
      <c r="G313" s="60"/>
      <c r="H313" s="60"/>
      <c r="I313" s="60"/>
      <c r="J313" s="60"/>
      <c r="K313" s="60"/>
      <c r="L313" s="60"/>
      <c r="N313"/>
      <c r="O313"/>
      <c r="R313" t="s">
        <v>417</v>
      </c>
    </row>
    <row r="314" spans="1:52" x14ac:dyDescent="0.2">
      <c r="A314" s="74"/>
      <c r="B314" s="60"/>
      <c r="C314" s="60"/>
      <c r="D314" s="60"/>
      <c r="E314" s="60"/>
      <c r="F314" s="60"/>
      <c r="G314" s="60"/>
      <c r="H314" s="60"/>
      <c r="I314" s="60"/>
      <c r="J314" s="60"/>
      <c r="K314" s="60"/>
      <c r="L314" s="60"/>
      <c r="N314"/>
      <c r="O314"/>
    </row>
    <row r="315" spans="1:52" x14ac:dyDescent="0.2">
      <c r="A315" s="74"/>
      <c r="B315" s="60"/>
      <c r="C315" s="60"/>
      <c r="D315" s="60"/>
      <c r="E315" s="60"/>
      <c r="F315" s="60"/>
      <c r="G315" s="60"/>
      <c r="H315" s="60"/>
      <c r="I315" s="60"/>
      <c r="J315" s="60"/>
      <c r="K315" s="60"/>
      <c r="L315" s="60"/>
      <c r="N315"/>
      <c r="O315"/>
      <c r="Q315" s="13">
        <f>'Template IF 2'!GL3</f>
        <v>191</v>
      </c>
      <c r="R315" s="13">
        <f>'Template IF 2'!GM3</f>
        <v>192</v>
      </c>
      <c r="S315" s="13">
        <f>'Template IF 2'!GN3</f>
        <v>193</v>
      </c>
      <c r="T315" s="13">
        <f>'Template IF 2'!GO3</f>
        <v>194</v>
      </c>
      <c r="U315" s="13">
        <f>'Template IF 2'!GP3</f>
        <v>195</v>
      </c>
      <c r="V315" s="13">
        <f>'Template IF 2'!GQ3</f>
        <v>196</v>
      </c>
      <c r="W315" s="13">
        <f>'Template IF 2'!GR3</f>
        <v>197</v>
      </c>
      <c r="X315" s="13">
        <f>'Template IF 2'!GS3</f>
        <v>198</v>
      </c>
      <c r="Y315" s="13">
        <f>'Template IF 2'!GT3</f>
        <v>199</v>
      </c>
      <c r="Z315" s="13">
        <f>'Template IF 2'!GU3</f>
        <v>200</v>
      </c>
      <c r="AA315" s="13">
        <f>'Template IF 2'!GV3</f>
        <v>201</v>
      </c>
      <c r="AB315" s="13">
        <f>'Template IF 2'!GW3</f>
        <v>202</v>
      </c>
      <c r="AC315" s="13">
        <f>'Template IF 2'!GX3</f>
        <v>203</v>
      </c>
      <c r="AD315" s="13">
        <f>'Template IF 2'!GY3</f>
        <v>204</v>
      </c>
      <c r="AE315" s="13">
        <f>'Template IF 2'!GZ3</f>
        <v>205</v>
      </c>
      <c r="AF315" s="13">
        <f>'Template IF 2'!HA3</f>
        <v>206</v>
      </c>
      <c r="AG315" s="13">
        <f>'Template IF 2'!HB3</f>
        <v>207</v>
      </c>
      <c r="AH315" s="13">
        <f>'Template IF 2'!HC3</f>
        <v>208</v>
      </c>
      <c r="AI315" s="13">
        <f>'Template IF 2'!HD3</f>
        <v>209</v>
      </c>
      <c r="AJ315" s="23">
        <f>'Template IF 2'!HE3</f>
        <v>210</v>
      </c>
      <c r="AK315" s="23">
        <f>'Template IF 2'!HF3</f>
        <v>211</v>
      </c>
      <c r="AL315" s="23">
        <f>'Template IF 2'!HG3</f>
        <v>212</v>
      </c>
      <c r="AM315" s="23">
        <f>'Template IF 2'!HH3</f>
        <v>213</v>
      </c>
      <c r="AN315" s="23">
        <f>'Template IF 2'!HI3</f>
        <v>214</v>
      </c>
      <c r="AO315" s="13">
        <f>'Template IF 2'!HJ3</f>
        <v>215</v>
      </c>
      <c r="AP315" s="13">
        <f>'Template IF 2'!HK3</f>
        <v>216</v>
      </c>
      <c r="AQ315" s="13">
        <f>'Template IF 2'!HL3</f>
        <v>217</v>
      </c>
      <c r="AR315" s="22">
        <f>'Template IF 2'!HM3</f>
        <v>218</v>
      </c>
      <c r="AS315" s="22">
        <f>'Template IF 2'!HN3</f>
        <v>219</v>
      </c>
      <c r="AT315" s="22">
        <f>'Template IF 2'!HO3</f>
        <v>220</v>
      </c>
      <c r="AU315" s="22">
        <f>'Template IF 2'!HP3</f>
        <v>221</v>
      </c>
      <c r="AV315" s="22">
        <f>'Template IF 2'!HQ3</f>
        <v>222</v>
      </c>
      <c r="AW315" s="12">
        <f>'Template IF 2'!HR3</f>
        <v>223</v>
      </c>
      <c r="AX315" s="12">
        <f>'Template IF 2'!HS3</f>
        <v>224</v>
      </c>
      <c r="AY315" s="12">
        <f>'Template IF 2'!HT3</f>
        <v>225</v>
      </c>
      <c r="AZ315" s="12">
        <f>'Template IF 2'!HU3</f>
        <v>226</v>
      </c>
    </row>
    <row r="316" spans="1:52" x14ac:dyDescent="0.2">
      <c r="A316" s="74"/>
      <c r="B316" s="60"/>
      <c r="C316" s="60"/>
      <c r="D316" s="60"/>
      <c r="E316" s="60"/>
      <c r="F316" s="60"/>
      <c r="G316" s="60"/>
      <c r="H316" s="60"/>
      <c r="I316" s="60"/>
      <c r="J316" s="60"/>
      <c r="K316" s="60"/>
      <c r="L316" s="60"/>
      <c r="N316"/>
      <c r="O316"/>
      <c r="Q316" s="18">
        <f>VLOOKUP($A16,'Template IF 2'!$B$3:$HI$110,192,FALSE)</f>
        <v>0</v>
      </c>
      <c r="R316" s="18">
        <f>VLOOKUP($A16,'Template IF 2'!$B$3:$HI$110,193,FALSE)</f>
        <v>0</v>
      </c>
      <c r="S316" s="18">
        <f>VLOOKUP($A16,'Template IF 2'!$B$3:$HI$110,194,FALSE)</f>
        <v>0</v>
      </c>
      <c r="T316" s="18">
        <f>VLOOKUP($A16,'Template IF 2'!$B$3:$HI$110,195,FALSE)</f>
        <v>0</v>
      </c>
      <c r="U316" s="13">
        <f>VLOOKUP($A16,'Template IF 2'!$B$3:$HI$110,196,FALSE)</f>
        <v>0</v>
      </c>
      <c r="V316" s="13">
        <f>VLOOKUP($A16,'Template IF 2'!$B$3:$HI$110,197,FALSE)</f>
        <v>0</v>
      </c>
      <c r="W316" s="13">
        <f>VLOOKUP($A16,'Template IF 2'!$B$3:$HI$110,198,FALSE)</f>
        <v>0</v>
      </c>
      <c r="X316" s="13">
        <f>VLOOKUP($A16,'Template IF 2'!$B$3:$HI$110,199,FALSE)</f>
        <v>0</v>
      </c>
      <c r="Y316" s="13">
        <f>VLOOKUP($A16,'Template IF 2'!$B$3:$HI$110,200,FALSE)</f>
        <v>0</v>
      </c>
      <c r="Z316" s="13">
        <f>VLOOKUP($A16,'Template IF 2'!$B$3:$HI$110,201,FALSE)</f>
        <v>0</v>
      </c>
      <c r="AA316" s="13">
        <f>VLOOKUP($A16,'Template IF 2'!$B$3:$HI$110,202,FALSE)</f>
        <v>0</v>
      </c>
      <c r="AB316" s="13">
        <f>VLOOKUP($A16,'Template IF 2'!$B$3:$HI$110,203,FALSE)</f>
        <v>0</v>
      </c>
      <c r="AC316" s="13">
        <f>VLOOKUP($A16,'Template IF 2'!$B$3:$HI$110,204,FALSE)</f>
        <v>0</v>
      </c>
      <c r="AD316" s="13">
        <f>VLOOKUP($A16,'Template IF 2'!$B$3:$HI$110,205,FALSE)</f>
        <v>0</v>
      </c>
      <c r="AE316" s="13">
        <f>VLOOKUP($A16,'Template IF 2'!$B$3:$HI$110,206,FALSE)</f>
        <v>0</v>
      </c>
      <c r="AF316" s="13">
        <f>VLOOKUP($A16,'Template IF 2'!$B$3:$HI$110,207,FALSE)</f>
        <v>0</v>
      </c>
      <c r="AG316" s="13">
        <f>VLOOKUP($A16,'Template IF 2'!$B$3:$HI$110,208,FALSE)</f>
        <v>0</v>
      </c>
      <c r="AH316" s="13">
        <f>VLOOKUP($A16,'Template IF 2'!$B$3:$HI$110,209,FALSE)</f>
        <v>0</v>
      </c>
      <c r="AI316" s="13">
        <f>VLOOKUP($A16,'Template IF 2'!$B$3:$HI$110,210,FALSE)</f>
        <v>0</v>
      </c>
      <c r="AJ316" s="22">
        <f>VLOOKUP($A16,'Template IF 2'!$B$3:$HI$110,211,FALSE)</f>
        <v>0</v>
      </c>
      <c r="AK316" s="22">
        <f>VLOOKUP($A16,'Template IF 2'!$B$3:$HI$110,212,FALSE)</f>
        <v>0</v>
      </c>
      <c r="AL316" s="22">
        <f>VLOOKUP($A16,'Template IF 2'!$B$3:$HI$110,213,FALSE)</f>
        <v>0</v>
      </c>
      <c r="AM316" s="22">
        <f>VLOOKUP($A16,'Template IF 2'!$B$3:$HI$110,214,FALSE)</f>
        <v>0</v>
      </c>
      <c r="AN316" s="22">
        <f>VLOOKUP($A16,'Template IF 2'!$B$3:$HI$110,215,FALSE)</f>
        <v>0</v>
      </c>
      <c r="AO316" s="16">
        <f>VLOOKUP($A16,'Template IF 2'!$B$3:$HL$110,216,FALSE)</f>
        <v>0</v>
      </c>
      <c r="AP316" s="16">
        <f>VLOOKUP($A16,'Template IF 2'!$B$3:$HL$110,217,FALSE)</f>
        <v>0</v>
      </c>
      <c r="AQ316" s="16">
        <f>VLOOKUP($A16,'Template IF 2'!$B$3:$HL$110,218,FALSE)</f>
        <v>0</v>
      </c>
      <c r="AR316" s="22">
        <f>VLOOKUP($A16,'Template IF 2'!$B$3:$HV$110,219,FALSE)</f>
        <v>0</v>
      </c>
      <c r="AS316" s="22">
        <f>VLOOKUP($A16,'Template IF 2'!$B$3:$HV$110,220,FALSE)</f>
        <v>0</v>
      </c>
      <c r="AT316" s="22">
        <f>VLOOKUP($A16,'Template IF 2'!$B$3:$HV$110,221,FALSE)</f>
        <v>0</v>
      </c>
      <c r="AU316" s="22">
        <f>VLOOKUP($A16,'Template IF 2'!$B$3:$HV$110,222,FALSE)</f>
        <v>0</v>
      </c>
      <c r="AV316" s="22">
        <f>VLOOKUP($A16,'Template IF 2'!$B$3:$HV$110,223,FALSE)</f>
        <v>0</v>
      </c>
      <c r="AW316" s="22">
        <f>VLOOKUP($A16,'Template IF 2'!$B$3:$HV$110,224,FALSE)</f>
        <v>0</v>
      </c>
      <c r="AX316" s="22">
        <f>VLOOKUP($A16,'Template IF 2'!$B$3:$HV$110,225,FALSE)</f>
        <v>0</v>
      </c>
      <c r="AY316" s="22">
        <f>VLOOKUP($A16,'Template IF 2'!$B$3:$HV$110,226,FALSE)</f>
        <v>0</v>
      </c>
      <c r="AZ316" s="22">
        <f>VLOOKUP($A16,'Template IF 2'!$B$3:$HV$110,227,FALSE)</f>
        <v>0</v>
      </c>
    </row>
    <row r="317" spans="1:52" x14ac:dyDescent="0.2">
      <c r="N317"/>
      <c r="O317"/>
      <c r="Q317" s="18">
        <f>VLOOKUP($A18,'Template IF 2'!$B$3:$HI$110,192,FALSE)</f>
        <v>0</v>
      </c>
      <c r="R317" s="18" t="str">
        <f>VLOOKUP($A18,'Template IF 2'!$B$3:$HI$110,193,FALSE)</f>
        <v>b191</v>
      </c>
      <c r="S317" s="18" t="str">
        <f>VLOOKUP($A18,'Template IF 2'!$B$3:$HI$110,194,FALSE)</f>
        <v>b192</v>
      </c>
      <c r="T317" s="18" t="str">
        <f>VLOOKUP($A18,'Template IF 2'!$B$3:$HI$110,195,FALSE)</f>
        <v>b193</v>
      </c>
      <c r="U317" s="13" t="str">
        <f>VLOOKUP($A18,'Template IF 2'!$B$3:$HI$110,196,FALSE)</f>
        <v>b194</v>
      </c>
      <c r="V317" s="13" t="str">
        <f>VLOOKUP($A18,'Template IF 2'!$B$3:$HI$110,197,FALSE)</f>
        <v>b195</v>
      </c>
      <c r="W317" s="13" t="str">
        <f>VLOOKUP($A18,'Template IF 2'!$B$3:$HI$110,198,FALSE)</f>
        <v>b196</v>
      </c>
      <c r="X317" s="13" t="str">
        <f>VLOOKUP($A18,'Template IF 2'!$B$3:$HI$110,199,FALSE)</f>
        <v>b197</v>
      </c>
      <c r="Y317" s="13" t="str">
        <f>VLOOKUP($A18,'Template IF 2'!$B$3:$HI$110,200,FALSE)</f>
        <v>b198</v>
      </c>
      <c r="Z317" s="13" t="str">
        <f>VLOOKUP($A18,'Template IF 2'!$B$3:$HI$110,201,FALSE)</f>
        <v>b199</v>
      </c>
      <c r="AA317" s="13" t="str">
        <f>VLOOKUP($A18,'Template IF 2'!$B$3:$HI$110,202,FALSE)</f>
        <v>b200</v>
      </c>
      <c r="AB317" s="13" t="str">
        <f>VLOOKUP($A18,'Template IF 2'!$B$3:$HI$110,203,FALSE)</f>
        <v>b201</v>
      </c>
      <c r="AC317" s="13" t="str">
        <f>VLOOKUP($A18,'Template IF 2'!$B$3:$HI$110,204,FALSE)</f>
        <v>b202</v>
      </c>
      <c r="AD317" s="13" t="str">
        <f>VLOOKUP($A18,'Template IF 2'!$B$3:$HI$110,205,FALSE)</f>
        <v>b203</v>
      </c>
      <c r="AE317" s="13" t="str">
        <f>VLOOKUP($A18,'Template IF 2'!$B$3:$HI$110,206,FALSE)</f>
        <v>b204</v>
      </c>
      <c r="AF317" s="13" t="str">
        <f>VLOOKUP($A18,'Template IF 2'!$B$3:$HI$110,207,FALSE)</f>
        <v>b205</v>
      </c>
      <c r="AG317" s="13" t="str">
        <f>VLOOKUP($A18,'Template IF 2'!$B$3:$HI$110,208,FALSE)</f>
        <v>b206</v>
      </c>
      <c r="AH317" s="13" t="str">
        <f>VLOOKUP($A18,'Template IF 2'!$B$3:$HI$110,209,FALSE)</f>
        <v>b207</v>
      </c>
      <c r="AI317" s="13" t="str">
        <f>VLOOKUP($A18,'Template IF 2'!$B$3:$HI$110,210,FALSE)</f>
        <v>b208</v>
      </c>
      <c r="AJ317" s="22" t="str">
        <f>VLOOKUP($A18,'Template IF 2'!$B$3:$HI$110,211,FALSE)</f>
        <v>b209</v>
      </c>
      <c r="AK317" s="22" t="str">
        <f>VLOOKUP($A18,'Template IF 2'!$B$3:$HI$110,212,FALSE)</f>
        <v>b210</v>
      </c>
      <c r="AL317" s="22" t="str">
        <f>VLOOKUP($A18,'Template IF 2'!$B$3:$HI$110,213,FALSE)</f>
        <v>b211</v>
      </c>
      <c r="AM317" s="22" t="str">
        <f>VLOOKUP($A18,'Template IF 2'!$B$3:$HI$110,214,FALSE)</f>
        <v>b212</v>
      </c>
      <c r="AN317" s="22" t="str">
        <f>VLOOKUP($A18,'Template IF 2'!$B$3:$HI$110,215,FALSE)</f>
        <v>b213</v>
      </c>
      <c r="AO317" s="16" t="str">
        <f>VLOOKUP($A18,'Template IF 2'!$B$3:$HL$110,216,FALSE)</f>
        <v>b214</v>
      </c>
      <c r="AP317" s="16" t="str">
        <f>VLOOKUP($A18,'Template IF 2'!$B$3:$HL$110,217,FALSE)</f>
        <v>b215</v>
      </c>
      <c r="AQ317" s="16" t="str">
        <f>VLOOKUP($A18,'Template IF 2'!$B$3:$HL$110,218,FALSE)</f>
        <v>b216</v>
      </c>
      <c r="AR317" s="22" t="str">
        <f>VLOOKUP($A18,'Template IF 2'!$B$3:$HV$110,219,FALSE)</f>
        <v>b217</v>
      </c>
      <c r="AS317" s="22" t="str">
        <f>VLOOKUP($A18,'Template IF 2'!$B$3:$HV$110,220,FALSE)</f>
        <v>b218</v>
      </c>
      <c r="AT317" s="22" t="str">
        <f>VLOOKUP($A18,'Template IF 2'!$B$3:$HV$110,221,FALSE)</f>
        <v>b219</v>
      </c>
      <c r="AU317" s="22" t="str">
        <f>VLOOKUP($A18,'Template IF 2'!$B$3:$HV$110,222,FALSE)</f>
        <v>b220</v>
      </c>
      <c r="AV317" s="22" t="str">
        <f>VLOOKUP($A18,'Template IF 2'!$B$3:$HV$110,223,FALSE)</f>
        <v>b221</v>
      </c>
      <c r="AW317" s="22" t="str">
        <f>VLOOKUP($A18,'Template IF 2'!$B$3:$HV$110,224,FALSE)</f>
        <v>b222</v>
      </c>
      <c r="AX317" s="22" t="str">
        <f>VLOOKUP($A18,'Template IF 2'!$B$3:$HV$110,225,FALSE)</f>
        <v>b223</v>
      </c>
      <c r="AY317" s="22" t="str">
        <f>VLOOKUP($A18,'Template IF 2'!$B$3:$HV$110,226,FALSE)</f>
        <v>b224</v>
      </c>
      <c r="AZ317" s="22" t="str">
        <f>VLOOKUP($A18,'Template IF 2'!$B$3:$HV$110,227,FALSE)</f>
        <v>b225</v>
      </c>
    </row>
    <row r="318" spans="1:52" x14ac:dyDescent="0.2">
      <c r="N318"/>
      <c r="O318"/>
      <c r="Q318" s="18">
        <f>VLOOKUP($A20,'Template IF 2'!$B$3:$HI$110,192,FALSE)</f>
        <v>0</v>
      </c>
      <c r="R318" s="18" t="str">
        <f>VLOOKUP($A20,'Template IF 2'!$B$3:$HI$110,193,FALSE)</f>
        <v>c191</v>
      </c>
      <c r="S318" s="18" t="str">
        <f>VLOOKUP($A20,'Template IF 2'!$B$3:$HI$110,194,FALSE)</f>
        <v>c192</v>
      </c>
      <c r="T318" s="18" t="str">
        <f>VLOOKUP($A20,'Template IF 2'!$B$3:$HI$110,195,FALSE)</f>
        <v>c193</v>
      </c>
      <c r="U318" s="13" t="str">
        <f>VLOOKUP($A20,'Template IF 2'!$B$3:$HI$110,196,FALSE)</f>
        <v>c194</v>
      </c>
      <c r="V318" s="13" t="str">
        <f>VLOOKUP($A20,'Template IF 2'!$B$3:$HI$110,197,FALSE)</f>
        <v>c195</v>
      </c>
      <c r="W318" s="13" t="str">
        <f>VLOOKUP($A20,'Template IF 2'!$B$3:$HI$110,198,FALSE)</f>
        <v>c196</v>
      </c>
      <c r="X318" s="13" t="str">
        <f>VLOOKUP($A20,'Template IF 2'!$B$3:$HI$110,199,FALSE)</f>
        <v>c197</v>
      </c>
      <c r="Y318" s="13" t="str">
        <f>VLOOKUP($A20,'Template IF 2'!$B$3:$HI$110,200,FALSE)</f>
        <v>c198</v>
      </c>
      <c r="Z318" s="13" t="str">
        <f>VLOOKUP($A20,'Template IF 2'!$B$3:$HI$110,201,FALSE)</f>
        <v>c199</v>
      </c>
      <c r="AA318" s="13" t="str">
        <f>VLOOKUP($A20,'Template IF 2'!$B$3:$HI$110,202,FALSE)</f>
        <v>c200</v>
      </c>
      <c r="AB318" s="13" t="str">
        <f>VLOOKUP($A20,'Template IF 2'!$B$3:$HI$110,203,FALSE)</f>
        <v>c201</v>
      </c>
      <c r="AC318" s="13" t="str">
        <f>VLOOKUP($A20,'Template IF 2'!$B$3:$HI$110,204,FALSE)</f>
        <v>c202</v>
      </c>
      <c r="AD318" s="13" t="str">
        <f>VLOOKUP($A20,'Template IF 2'!$B$3:$HI$110,205,FALSE)</f>
        <v>c203</v>
      </c>
      <c r="AE318" s="13" t="str">
        <f>VLOOKUP($A20,'Template IF 2'!$B$3:$HI$110,206,FALSE)</f>
        <v>c204</v>
      </c>
      <c r="AF318" s="13" t="str">
        <f>VLOOKUP($A20,'Template IF 2'!$B$3:$HI$110,207,FALSE)</f>
        <v>c205</v>
      </c>
      <c r="AG318" s="13" t="str">
        <f>VLOOKUP($A20,'Template IF 2'!$B$3:$HI$110,208,FALSE)</f>
        <v>c206</v>
      </c>
      <c r="AH318" s="13" t="str">
        <f>VLOOKUP($A20,'Template IF 2'!$B$3:$HI$110,209,FALSE)</f>
        <v>c207</v>
      </c>
      <c r="AI318" s="13" t="str">
        <f>VLOOKUP($A20,'Template IF 2'!$B$3:$HI$110,210,FALSE)</f>
        <v>c208</v>
      </c>
      <c r="AJ318" s="22" t="str">
        <f>VLOOKUP($A20,'Template IF 2'!$B$3:$HI$110,211,FALSE)</f>
        <v>c209</v>
      </c>
      <c r="AK318" s="22" t="str">
        <f>VLOOKUP($A20,'Template IF 2'!$B$3:$HI$110,212,FALSE)</f>
        <v>c210</v>
      </c>
      <c r="AL318" s="22" t="str">
        <f>VLOOKUP($A20,'Template IF 2'!$B$3:$HI$110,213,FALSE)</f>
        <v>c211</v>
      </c>
      <c r="AM318" s="22" t="str">
        <f>VLOOKUP($A20,'Template IF 2'!$B$3:$HI$110,214,FALSE)</f>
        <v>c212</v>
      </c>
      <c r="AN318" s="22" t="str">
        <f>VLOOKUP($A20,'Template IF 2'!$B$3:$HI$110,215,FALSE)</f>
        <v>c213</v>
      </c>
      <c r="AO318" s="16" t="str">
        <f>VLOOKUP($A20,'Template IF 2'!$B$3:$HL$110,216,FALSE)</f>
        <v>c214</v>
      </c>
      <c r="AP318" s="16" t="str">
        <f>VLOOKUP($A20,'Template IF 2'!$B$3:$HL$110,217,FALSE)</f>
        <v>c215</v>
      </c>
      <c r="AQ318" s="16" t="str">
        <f>VLOOKUP($A20,'Template IF 2'!$B$3:$HL$110,218,FALSE)</f>
        <v>c216</v>
      </c>
      <c r="AR318" s="22" t="str">
        <f>VLOOKUP($A20,'Template IF 2'!$B$3:$HV$110,219,FALSE)</f>
        <v>c217</v>
      </c>
      <c r="AS318" s="22" t="str">
        <f>VLOOKUP($A20,'Template IF 2'!$B$3:$HV$110,220,FALSE)</f>
        <v>c218</v>
      </c>
      <c r="AT318" s="22" t="str">
        <f>VLOOKUP($A20,'Template IF 2'!$B$3:$HV$110,221,FALSE)</f>
        <v>c219</v>
      </c>
      <c r="AU318" s="22" t="str">
        <f>VLOOKUP($A20,'Template IF 2'!$B$3:$HV$110,222,FALSE)</f>
        <v>c220</v>
      </c>
      <c r="AV318" s="22" t="str">
        <f>VLOOKUP($A20,'Template IF 2'!$B$3:$HV$110,223,FALSE)</f>
        <v>c221</v>
      </c>
      <c r="AW318" s="22" t="str">
        <f>VLOOKUP($A20,'Template IF 2'!$B$3:$HV$110,224,FALSE)</f>
        <v>c222</v>
      </c>
      <c r="AX318" s="22" t="str">
        <f>VLOOKUP($A20,'Template IF 2'!$B$3:$HV$110,225,FALSE)</f>
        <v>c223</v>
      </c>
      <c r="AY318" s="22" t="str">
        <f>VLOOKUP($A20,'Template IF 2'!$B$3:$HV$110,226,FALSE)</f>
        <v>c224</v>
      </c>
      <c r="AZ318" s="22" t="str">
        <f>VLOOKUP($A20,'Template IF 2'!$B$3:$HV$110,227,FALSE)</f>
        <v>c225</v>
      </c>
    </row>
    <row r="319" spans="1:52" x14ac:dyDescent="0.2">
      <c r="N319"/>
      <c r="O319"/>
      <c r="Q319" s="18">
        <f>VLOOKUP($A22,'Template IF 2'!$B$3:$HI$110,192,FALSE)</f>
        <v>0</v>
      </c>
      <c r="R319" s="18" t="str">
        <f>VLOOKUP($A22,'Template IF 2'!$B$3:$HI$110,193,FALSE)</f>
        <v>d191</v>
      </c>
      <c r="S319" s="18" t="str">
        <f>VLOOKUP($A22,'Template IF 2'!$B$3:$HI$110,194,FALSE)</f>
        <v>d192</v>
      </c>
      <c r="T319" s="18" t="str">
        <f>VLOOKUP($A22,'Template IF 2'!$B$3:$HI$110,195,FALSE)</f>
        <v>d193</v>
      </c>
      <c r="U319" s="13" t="str">
        <f>VLOOKUP($A22,'Template IF 2'!$B$3:$HI$110,196,FALSE)</f>
        <v>d194</v>
      </c>
      <c r="V319" s="13" t="str">
        <f>VLOOKUP($A22,'Template IF 2'!$B$3:$HI$110,197,FALSE)</f>
        <v>d195</v>
      </c>
      <c r="W319" s="13" t="str">
        <f>VLOOKUP($A22,'Template IF 2'!$B$3:$HI$110,198,FALSE)</f>
        <v>d196</v>
      </c>
      <c r="X319" s="13" t="str">
        <f>VLOOKUP($A22,'Template IF 2'!$B$3:$HI$110,199,FALSE)</f>
        <v>d197</v>
      </c>
      <c r="Y319" s="13" t="str">
        <f>VLOOKUP($A22,'Template IF 2'!$B$3:$HI$110,200,FALSE)</f>
        <v>d198</v>
      </c>
      <c r="Z319" s="13" t="str">
        <f>VLOOKUP($A22,'Template IF 2'!$B$3:$HI$110,201,FALSE)</f>
        <v>d199</v>
      </c>
      <c r="AA319" s="13" t="str">
        <f>VLOOKUP($A22,'Template IF 2'!$B$3:$HI$110,202,FALSE)</f>
        <v>d200</v>
      </c>
      <c r="AB319" s="13" t="str">
        <f>VLOOKUP($A22,'Template IF 2'!$B$3:$HI$110,203,FALSE)</f>
        <v>d201</v>
      </c>
      <c r="AC319" s="13" t="str">
        <f>VLOOKUP($A22,'Template IF 2'!$B$3:$HI$110,204,FALSE)</f>
        <v>d202</v>
      </c>
      <c r="AD319" s="13" t="str">
        <f>VLOOKUP($A22,'Template IF 2'!$B$3:$HI$110,205,FALSE)</f>
        <v>d203</v>
      </c>
      <c r="AE319" s="13" t="str">
        <f>VLOOKUP($A22,'Template IF 2'!$B$3:$HI$110,206,FALSE)</f>
        <v>d204</v>
      </c>
      <c r="AF319" s="13" t="str">
        <f>VLOOKUP($A22,'Template IF 2'!$B$3:$HI$110,207,FALSE)</f>
        <v>d205</v>
      </c>
      <c r="AG319" s="13" t="str">
        <f>VLOOKUP($A22,'Template IF 2'!$B$3:$HI$110,208,FALSE)</f>
        <v>d206</v>
      </c>
      <c r="AH319" s="13" t="str">
        <f>VLOOKUP($A22,'Template IF 2'!$B$3:$HI$110,209,FALSE)</f>
        <v>d207</v>
      </c>
      <c r="AI319" s="13" t="str">
        <f>VLOOKUP($A22,'Template IF 2'!$B$3:$HI$110,210,FALSE)</f>
        <v>d208</v>
      </c>
      <c r="AJ319" s="22" t="str">
        <f>VLOOKUP($A22,'Template IF 2'!$B$3:$HI$110,211,FALSE)</f>
        <v>d209</v>
      </c>
      <c r="AK319" s="22" t="str">
        <f>VLOOKUP($A22,'Template IF 2'!$B$3:$HI$110,212,FALSE)</f>
        <v>d210</v>
      </c>
      <c r="AL319" s="22" t="str">
        <f>VLOOKUP($A22,'Template IF 2'!$B$3:$HI$110,213,FALSE)</f>
        <v>d211</v>
      </c>
      <c r="AM319" s="22" t="str">
        <f>VLOOKUP($A22,'Template IF 2'!$B$3:$HI$110,214,FALSE)</f>
        <v>d212</v>
      </c>
      <c r="AN319" s="22" t="str">
        <f>VLOOKUP($A22,'Template IF 2'!$B$3:$HI$110,215,FALSE)</f>
        <v>d213</v>
      </c>
      <c r="AO319" s="16" t="str">
        <f>VLOOKUP($A22,'Template IF 2'!$B$3:$HL$110,216,FALSE)</f>
        <v>d214</v>
      </c>
      <c r="AP319" s="16" t="str">
        <f>VLOOKUP($A22,'Template IF 2'!$B$3:$HL$110,217,FALSE)</f>
        <v>d215</v>
      </c>
      <c r="AQ319" s="16" t="str">
        <f>VLOOKUP($A22,'Template IF 2'!$B$3:$HL$110,218,FALSE)</f>
        <v>d216</v>
      </c>
      <c r="AR319" s="22" t="str">
        <f>VLOOKUP($A22,'Template IF 2'!$B$3:$HV$110,219,FALSE)</f>
        <v>d217</v>
      </c>
      <c r="AS319" s="22" t="str">
        <f>VLOOKUP($A22,'Template IF 2'!$B$3:$HV$110,220,FALSE)</f>
        <v>d218</v>
      </c>
      <c r="AT319" s="22" t="str">
        <f>VLOOKUP($A22,'Template IF 2'!$B$3:$HV$110,221,FALSE)</f>
        <v>d219</v>
      </c>
      <c r="AU319" s="22" t="str">
        <f>VLOOKUP($A22,'Template IF 2'!$B$3:$HV$110,222,FALSE)</f>
        <v>d220</v>
      </c>
      <c r="AV319" s="22" t="str">
        <f>VLOOKUP($A22,'Template IF 2'!$B$3:$HV$110,223,FALSE)</f>
        <v>d221</v>
      </c>
      <c r="AW319" s="22" t="str">
        <f>VLOOKUP($A22,'Template IF 2'!$B$3:$HV$110,224,FALSE)</f>
        <v>d222</v>
      </c>
      <c r="AX319" s="22" t="str">
        <f>VLOOKUP($A22,'Template IF 2'!$B$3:$HV$110,225,FALSE)</f>
        <v>d223</v>
      </c>
      <c r="AY319" s="22" t="str">
        <f>VLOOKUP($A22,'Template IF 2'!$B$3:$HV$110,226,FALSE)</f>
        <v>d224</v>
      </c>
      <c r="AZ319" s="22" t="str">
        <f>VLOOKUP($A22,'Template IF 2'!$B$3:$HV$110,227,FALSE)</f>
        <v>d225</v>
      </c>
    </row>
    <row r="320" spans="1:52" x14ac:dyDescent="0.2">
      <c r="N320"/>
      <c r="O320"/>
      <c r="Q320" s="18">
        <f>VLOOKUP($A24,'Template IF 2'!$B$3:$HI$110,192,FALSE)</f>
        <v>0</v>
      </c>
      <c r="R320" s="18" t="str">
        <f>VLOOKUP($A24,'Template IF 2'!$B$3:$HI$110,193,FALSE)</f>
        <v>e191</v>
      </c>
      <c r="S320" s="18" t="str">
        <f>VLOOKUP($A24,'Template IF 2'!$B$3:$HI$110,194,FALSE)</f>
        <v>e192</v>
      </c>
      <c r="T320" s="18" t="str">
        <f>VLOOKUP($A24,'Template IF 2'!$B$3:$HI$110,195,FALSE)</f>
        <v>e193</v>
      </c>
      <c r="U320" s="13" t="str">
        <f>VLOOKUP($A24,'Template IF 2'!$B$3:$HI$110,196,FALSE)</f>
        <v>e194</v>
      </c>
      <c r="V320" s="13" t="str">
        <f>VLOOKUP($A24,'Template IF 2'!$B$3:$HI$110,197,FALSE)</f>
        <v>e195</v>
      </c>
      <c r="W320" s="13" t="str">
        <f>VLOOKUP($A24,'Template IF 2'!$B$3:$HI$110,198,FALSE)</f>
        <v>e196</v>
      </c>
      <c r="X320" s="13" t="str">
        <f>VLOOKUP($A24,'Template IF 2'!$B$3:$HI$110,199,FALSE)</f>
        <v>e197</v>
      </c>
      <c r="Y320" s="13" t="str">
        <f>VLOOKUP($A24,'Template IF 2'!$B$3:$HI$110,200,FALSE)</f>
        <v>e198</v>
      </c>
      <c r="Z320" s="13" t="str">
        <f>VLOOKUP($A24,'Template IF 2'!$B$3:$HI$110,201,FALSE)</f>
        <v>e199</v>
      </c>
      <c r="AA320" s="13" t="str">
        <f>VLOOKUP($A24,'Template IF 2'!$B$3:$HI$110,202,FALSE)</f>
        <v>e200</v>
      </c>
      <c r="AB320" s="13" t="str">
        <f>VLOOKUP($A24,'Template IF 2'!$B$3:$HI$110,203,FALSE)</f>
        <v>e201</v>
      </c>
      <c r="AC320" s="13" t="str">
        <f>VLOOKUP($A24,'Template IF 2'!$B$3:$HI$110,204,FALSE)</f>
        <v>e202</v>
      </c>
      <c r="AD320" s="13" t="str">
        <f>VLOOKUP($A24,'Template IF 2'!$B$3:$HI$110,205,FALSE)</f>
        <v>e203</v>
      </c>
      <c r="AE320" s="13" t="str">
        <f>VLOOKUP($A24,'Template IF 2'!$B$3:$HI$110,206,FALSE)</f>
        <v>e204</v>
      </c>
      <c r="AF320" s="13" t="str">
        <f>VLOOKUP($A24,'Template IF 2'!$B$3:$HI$110,207,FALSE)</f>
        <v>e205</v>
      </c>
      <c r="AG320" s="13" t="str">
        <f>VLOOKUP($A24,'Template IF 2'!$B$3:$HI$110,208,FALSE)</f>
        <v>e206</v>
      </c>
      <c r="AH320" s="13" t="str">
        <f>VLOOKUP($A24,'Template IF 2'!$B$3:$HI$110,209,FALSE)</f>
        <v>e207</v>
      </c>
      <c r="AI320" s="13" t="str">
        <f>VLOOKUP($A24,'Template IF 2'!$B$3:$HI$110,210,FALSE)</f>
        <v>e208</v>
      </c>
      <c r="AJ320" s="22" t="str">
        <f>VLOOKUP($A24,'Template IF 2'!$B$3:$HI$110,211,FALSE)</f>
        <v>e209</v>
      </c>
      <c r="AK320" s="22" t="str">
        <f>VLOOKUP($A24,'Template IF 2'!$B$3:$HI$110,212,FALSE)</f>
        <v>e210</v>
      </c>
      <c r="AL320" s="22" t="str">
        <f>VLOOKUP($A24,'Template IF 2'!$B$3:$HI$110,213,FALSE)</f>
        <v>e211</v>
      </c>
      <c r="AM320" s="22" t="str">
        <f>VLOOKUP($A24,'Template IF 2'!$B$3:$HI$110,214,FALSE)</f>
        <v>e212</v>
      </c>
      <c r="AN320" s="22" t="str">
        <f>VLOOKUP($A24,'Template IF 2'!$B$3:$HI$110,215,FALSE)</f>
        <v>e213</v>
      </c>
      <c r="AO320" s="16" t="str">
        <f>VLOOKUP($A24,'Template IF 2'!$B$3:$HL$110,216,FALSE)</f>
        <v>e214</v>
      </c>
      <c r="AP320" s="16" t="str">
        <f>VLOOKUP($A24,'Template IF 2'!$B$3:$HL$110,217,FALSE)</f>
        <v>e215</v>
      </c>
      <c r="AQ320" s="16" t="str">
        <f>VLOOKUP($A24,'Template IF 2'!$B$3:$HL$110,218,FALSE)</f>
        <v>e216</v>
      </c>
      <c r="AR320" s="22" t="str">
        <f>VLOOKUP($A24,'Template IF 2'!$B$3:$HV$110,219,FALSE)</f>
        <v>e217</v>
      </c>
      <c r="AS320" s="22" t="str">
        <f>VLOOKUP($A24,'Template IF 2'!$B$3:$HV$110,220,FALSE)</f>
        <v>e218</v>
      </c>
      <c r="AT320" s="22" t="str">
        <f>VLOOKUP($A24,'Template IF 2'!$B$3:$HV$110,221,FALSE)</f>
        <v>e219</v>
      </c>
      <c r="AU320" s="22" t="str">
        <f>VLOOKUP($A24,'Template IF 2'!$B$3:$HV$110,222,FALSE)</f>
        <v>e220</v>
      </c>
      <c r="AV320" s="22" t="str">
        <f>VLOOKUP($A24,'Template IF 2'!$B$3:$HV$110,223,FALSE)</f>
        <v>e221</v>
      </c>
      <c r="AW320" s="22" t="str">
        <f>VLOOKUP($A24,'Template IF 2'!$B$3:$HV$110,224,FALSE)</f>
        <v>e222</v>
      </c>
      <c r="AX320" s="22" t="str">
        <f>VLOOKUP($A24,'Template IF 2'!$B$3:$HV$110,225,FALSE)</f>
        <v>e223</v>
      </c>
      <c r="AY320" s="22" t="str">
        <f>VLOOKUP($A24,'Template IF 2'!$B$3:$HV$110,226,FALSE)</f>
        <v>e224</v>
      </c>
      <c r="AZ320" s="22" t="str">
        <f>VLOOKUP($A24,'Template IF 2'!$B$3:$HV$110,227,FALSE)</f>
        <v>e225</v>
      </c>
    </row>
    <row r="321" spans="14:52" x14ac:dyDescent="0.2">
      <c r="N321"/>
      <c r="O321"/>
      <c r="Q321" s="20">
        <f>VLOOKUP($A26,'Template IF 2'!$B$3:$HI$110,192,FALSE)</f>
        <v>0</v>
      </c>
      <c r="R321" s="20" t="str">
        <f>VLOOKUP($A26,'Template IF 2'!$B$3:$HI$110,193,FALSE)</f>
        <v>f191</v>
      </c>
      <c r="S321" s="20" t="str">
        <f>VLOOKUP($A26,'Template IF 2'!$B$3:$HI$110,194,FALSE)</f>
        <v>f192</v>
      </c>
      <c r="T321" s="20" t="str">
        <f>VLOOKUP($A26,'Template IF 2'!$B$3:$HI$110,195,FALSE)</f>
        <v>f193</v>
      </c>
      <c r="U321" s="14" t="str">
        <f>VLOOKUP($A26,'Template IF 2'!$B$3:$HI$110,196,FALSE)</f>
        <v>f194</v>
      </c>
      <c r="V321" s="14" t="str">
        <f>VLOOKUP($A26,'Template IF 2'!$B$3:$HI$110,197,FALSE)</f>
        <v>f195</v>
      </c>
      <c r="W321" s="14" t="str">
        <f>VLOOKUP($A26,'Template IF 2'!$B$3:$HI$110,198,FALSE)</f>
        <v>f196</v>
      </c>
      <c r="X321" s="14" t="str">
        <f>VLOOKUP($A26,'Template IF 2'!$B$3:$HI$110,199,FALSE)</f>
        <v>f197</v>
      </c>
      <c r="Y321" s="14" t="str">
        <f>VLOOKUP($A26,'Template IF 2'!$B$3:$HI$110,200,FALSE)</f>
        <v>f198</v>
      </c>
      <c r="Z321" s="14" t="str">
        <f>VLOOKUP($A26,'Template IF 2'!$B$3:$HI$110,201,FALSE)</f>
        <v>f199</v>
      </c>
      <c r="AA321" s="14" t="str">
        <f>VLOOKUP($A26,'Template IF 2'!$B$3:$HI$110,202,FALSE)</f>
        <v>f200</v>
      </c>
      <c r="AB321" s="14" t="str">
        <f>VLOOKUP($A26,'Template IF 2'!$B$3:$HI$110,203,FALSE)</f>
        <v>f201</v>
      </c>
      <c r="AC321" s="14" t="str">
        <f>VLOOKUP($A26,'Template IF 2'!$B$3:$HI$110,204,FALSE)</f>
        <v>f202</v>
      </c>
      <c r="AD321" s="14" t="str">
        <f>VLOOKUP($A26,'Template IF 2'!$B$3:$HI$110,205,FALSE)</f>
        <v>f203</v>
      </c>
      <c r="AE321" s="14" t="str">
        <f>VLOOKUP($A26,'Template IF 2'!$B$3:$HI$110,206,FALSE)</f>
        <v>f204</v>
      </c>
      <c r="AF321" s="14" t="str">
        <f>VLOOKUP($A26,'Template IF 2'!$B$3:$HI$110,207,FALSE)</f>
        <v>f205</v>
      </c>
      <c r="AG321" s="14" t="str">
        <f>VLOOKUP($A26,'Template IF 2'!$B$3:$HI$110,208,FALSE)</f>
        <v>f206</v>
      </c>
      <c r="AH321" s="14" t="str">
        <f>VLOOKUP($A26,'Template IF 2'!$B$3:$HI$110,209,FALSE)</f>
        <v>f207</v>
      </c>
      <c r="AI321" s="14" t="str">
        <f>VLOOKUP($A26,'Template IF 2'!$B$3:$HI$110,210,FALSE)</f>
        <v>f208</v>
      </c>
      <c r="AJ321" s="19" t="str">
        <f>VLOOKUP($A26,'Template IF 2'!$B$3:$HI$110,211,FALSE)</f>
        <v>f209</v>
      </c>
      <c r="AK321" s="19" t="str">
        <f>VLOOKUP($A26,'Template IF 2'!$B$3:$HI$110,212,FALSE)</f>
        <v>f210</v>
      </c>
      <c r="AL321" s="19" t="str">
        <f>VLOOKUP($A26,'Template IF 2'!$B$3:$HI$110,213,FALSE)</f>
        <v>f211</v>
      </c>
      <c r="AM321" s="19" t="str">
        <f>VLOOKUP($A26,'Template IF 2'!$B$3:$HI$110,214,FALSE)</f>
        <v>f212</v>
      </c>
      <c r="AN321" s="19" t="str">
        <f>VLOOKUP($A26,'Template IF 2'!$B$3:$HI$110,215,FALSE)</f>
        <v>f213</v>
      </c>
      <c r="AO321" s="20" t="str">
        <f>VLOOKUP($A26,'Template IF 2'!$B$3:$HL$110,216,FALSE)</f>
        <v>f214</v>
      </c>
      <c r="AP321" s="20" t="str">
        <f>VLOOKUP($A26,'Template IF 2'!$B$3:$HL$110,217,FALSE)</f>
        <v>f215</v>
      </c>
      <c r="AQ321" s="20" t="str">
        <f>VLOOKUP($A26,'Template IF 2'!$B$3:$HL$110,218,FALSE)</f>
        <v>f216</v>
      </c>
      <c r="AR321" s="19" t="str">
        <f>VLOOKUP($A26,'Template IF 2'!$B$3:$HV$110,219,FALSE)</f>
        <v>f217</v>
      </c>
      <c r="AS321" s="19" t="str">
        <f>VLOOKUP($A26,'Template IF 2'!$B$3:$HV$110,220,FALSE)</f>
        <v>f218</v>
      </c>
      <c r="AT321" s="19" t="str">
        <f>VLOOKUP($A26,'Template IF 2'!$B$3:$HV$110,221,FALSE)</f>
        <v>f219</v>
      </c>
      <c r="AU321" s="19" t="str">
        <f>VLOOKUP($A26,'Template IF 2'!$B$3:$HV$110,222,FALSE)</f>
        <v>f220</v>
      </c>
      <c r="AV321" s="19" t="str">
        <f>VLOOKUP($A26,'Template IF 2'!$B$3:$HV$110,223,FALSE)</f>
        <v>f221</v>
      </c>
      <c r="AW321" s="19" t="str">
        <f>VLOOKUP($A26,'Template IF 2'!$B$3:$HV$110,224,FALSE)</f>
        <v>f222</v>
      </c>
      <c r="AX321" s="19" t="str">
        <f>VLOOKUP($A26,'Template IF 2'!$B$3:$HV$110,225,FALSE)</f>
        <v>f223</v>
      </c>
      <c r="AY321" s="19" t="str">
        <f>VLOOKUP($A26,'Template IF 2'!$B$3:$HV$110,226,FALSE)</f>
        <v>f224</v>
      </c>
      <c r="AZ321" s="19" t="str">
        <f>VLOOKUP($A26,'Template IF 2'!$B$3:$HV$110,227,FALSE)</f>
        <v>f225</v>
      </c>
    </row>
    <row r="322" spans="14:52" x14ac:dyDescent="0.2">
      <c r="N322"/>
      <c r="O322"/>
    </row>
    <row r="323" spans="14:52" x14ac:dyDescent="0.2">
      <c r="N323"/>
      <c r="O323"/>
    </row>
    <row r="324" spans="14:52" x14ac:dyDescent="0.2">
      <c r="N324"/>
      <c r="O324"/>
    </row>
    <row r="325" spans="14:52" x14ac:dyDescent="0.2">
      <c r="N325"/>
      <c r="O325"/>
      <c r="R325" t="s">
        <v>154</v>
      </c>
    </row>
    <row r="326" spans="14:52" x14ac:dyDescent="0.2">
      <c r="N326"/>
      <c r="O326"/>
      <c r="R326" t="s">
        <v>48</v>
      </c>
    </row>
    <row r="327" spans="14:52" x14ac:dyDescent="0.2">
      <c r="N327"/>
      <c r="O327"/>
      <c r="R327" t="s">
        <v>49</v>
      </c>
    </row>
    <row r="328" spans="14:52" x14ac:dyDescent="0.2">
      <c r="N328"/>
      <c r="O328"/>
      <c r="R328" t="s">
        <v>50</v>
      </c>
    </row>
    <row r="329" spans="14:52" x14ac:dyDescent="0.2">
      <c r="N329"/>
      <c r="O329"/>
      <c r="R329" t="s">
        <v>51</v>
      </c>
    </row>
    <row r="330" spans="14:52" x14ac:dyDescent="0.2">
      <c r="N330"/>
      <c r="O330"/>
      <c r="R330" t="s">
        <v>52</v>
      </c>
    </row>
    <row r="331" spans="14:52" x14ac:dyDescent="0.2">
      <c r="N331"/>
      <c r="O331"/>
      <c r="R331" t="s">
        <v>53</v>
      </c>
    </row>
    <row r="332" spans="14:52" x14ac:dyDescent="0.2">
      <c r="N332"/>
      <c r="O332"/>
      <c r="R332" t="s">
        <v>54</v>
      </c>
    </row>
    <row r="333" spans="14:52" x14ac:dyDescent="0.2">
      <c r="N333"/>
      <c r="O333"/>
      <c r="R333" t="s">
        <v>55</v>
      </c>
    </row>
    <row r="334" spans="14:52" x14ac:dyDescent="0.2">
      <c r="N334"/>
      <c r="O334"/>
      <c r="R334" t="s">
        <v>56</v>
      </c>
    </row>
    <row r="335" spans="14:52" x14ac:dyDescent="0.2">
      <c r="N335"/>
      <c r="O335"/>
      <c r="R335" t="s">
        <v>134</v>
      </c>
    </row>
    <row r="336" spans="14:52" x14ac:dyDescent="0.2">
      <c r="N336"/>
      <c r="O336"/>
      <c r="R336" t="s">
        <v>57</v>
      </c>
    </row>
    <row r="337" spans="14:18" x14ac:dyDescent="0.2">
      <c r="N337"/>
      <c r="O337"/>
      <c r="R337" t="s">
        <v>58</v>
      </c>
    </row>
    <row r="338" spans="14:18" x14ac:dyDescent="0.2">
      <c r="N338"/>
      <c r="O338"/>
      <c r="R338" t="s">
        <v>59</v>
      </c>
    </row>
    <row r="339" spans="14:18" x14ac:dyDescent="0.2">
      <c r="N339"/>
      <c r="O339"/>
      <c r="R339" t="s">
        <v>60</v>
      </c>
    </row>
    <row r="340" spans="14:18" x14ac:dyDescent="0.2">
      <c r="N340"/>
      <c r="O340"/>
      <c r="R340" t="s">
        <v>61</v>
      </c>
    </row>
    <row r="341" spans="14:18" x14ac:dyDescent="0.2">
      <c r="N341"/>
      <c r="O341"/>
      <c r="R341" t="s">
        <v>62</v>
      </c>
    </row>
    <row r="342" spans="14:18" x14ac:dyDescent="0.2">
      <c r="N342"/>
      <c r="O342"/>
      <c r="R342" t="s">
        <v>63</v>
      </c>
    </row>
    <row r="343" spans="14:18" x14ac:dyDescent="0.2">
      <c r="N343"/>
      <c r="O343"/>
      <c r="R343" t="s">
        <v>64</v>
      </c>
    </row>
    <row r="344" spans="14:18" x14ac:dyDescent="0.2">
      <c r="N344"/>
      <c r="O344"/>
      <c r="R344" t="s">
        <v>65</v>
      </c>
    </row>
    <row r="345" spans="14:18" x14ac:dyDescent="0.2">
      <c r="N345"/>
      <c r="O345"/>
      <c r="R345" t="s">
        <v>66</v>
      </c>
    </row>
    <row r="346" spans="14:18" x14ac:dyDescent="0.2">
      <c r="N346"/>
      <c r="O346"/>
      <c r="R346" t="s">
        <v>67</v>
      </c>
    </row>
    <row r="347" spans="14:18" x14ac:dyDescent="0.2">
      <c r="N347"/>
      <c r="O347"/>
      <c r="R347" t="s">
        <v>68</v>
      </c>
    </row>
    <row r="348" spans="14:18" x14ac:dyDescent="0.2">
      <c r="N348"/>
      <c r="O348"/>
      <c r="R348" t="s">
        <v>69</v>
      </c>
    </row>
    <row r="349" spans="14:18" x14ac:dyDescent="0.2">
      <c r="N349"/>
      <c r="O349"/>
      <c r="R349" t="s">
        <v>70</v>
      </c>
    </row>
    <row r="350" spans="14:18" x14ac:dyDescent="0.2">
      <c r="N350"/>
      <c r="O350"/>
      <c r="R350" t="s">
        <v>71</v>
      </c>
    </row>
    <row r="351" spans="14:18" x14ac:dyDescent="0.2">
      <c r="N351"/>
      <c r="O351"/>
      <c r="R351" t="s">
        <v>72</v>
      </c>
    </row>
    <row r="352" spans="14:18" x14ac:dyDescent="0.2">
      <c r="N352"/>
      <c r="O352"/>
      <c r="R352" t="s">
        <v>73</v>
      </c>
    </row>
    <row r="353" spans="14:18" x14ac:dyDescent="0.2">
      <c r="N353"/>
      <c r="O353"/>
      <c r="R353" t="s">
        <v>74</v>
      </c>
    </row>
    <row r="354" spans="14:18" x14ac:dyDescent="0.2">
      <c r="N354"/>
      <c r="O354"/>
      <c r="R354" t="s">
        <v>75</v>
      </c>
    </row>
    <row r="355" spans="14:18" x14ac:dyDescent="0.2">
      <c r="R355" t="s">
        <v>76</v>
      </c>
    </row>
    <row r="356" spans="14:18" x14ac:dyDescent="0.2">
      <c r="R356" t="s">
        <v>77</v>
      </c>
    </row>
    <row r="357" spans="14:18" x14ac:dyDescent="0.2">
      <c r="R357" t="s">
        <v>78</v>
      </c>
    </row>
    <row r="358" spans="14:18" x14ac:dyDescent="0.2">
      <c r="R358" t="s">
        <v>79</v>
      </c>
    </row>
    <row r="359" spans="14:18" x14ac:dyDescent="0.2">
      <c r="R359" t="s">
        <v>80</v>
      </c>
    </row>
    <row r="360" spans="14:18" x14ac:dyDescent="0.2">
      <c r="R360" t="s">
        <v>81</v>
      </c>
    </row>
    <row r="361" spans="14:18" x14ac:dyDescent="0.2">
      <c r="R361" t="s">
        <v>82</v>
      </c>
    </row>
    <row r="362" spans="14:18" x14ac:dyDescent="0.2">
      <c r="R362" t="s">
        <v>83</v>
      </c>
    </row>
    <row r="363" spans="14:18" x14ac:dyDescent="0.2">
      <c r="R363" t="s">
        <v>84</v>
      </c>
    </row>
    <row r="364" spans="14:18" x14ac:dyDescent="0.2">
      <c r="R364" t="s">
        <v>85</v>
      </c>
    </row>
    <row r="365" spans="14:18" x14ac:dyDescent="0.2">
      <c r="R365" t="s">
        <v>86</v>
      </c>
    </row>
    <row r="366" spans="14:18" x14ac:dyDescent="0.2">
      <c r="R366" t="s">
        <v>87</v>
      </c>
    </row>
    <row r="367" spans="14:18" x14ac:dyDescent="0.2">
      <c r="R367" t="s">
        <v>88</v>
      </c>
    </row>
    <row r="368" spans="14:18" x14ac:dyDescent="0.2">
      <c r="R368" t="s">
        <v>89</v>
      </c>
    </row>
    <row r="369" spans="18:18" x14ac:dyDescent="0.2">
      <c r="R369" t="s">
        <v>90</v>
      </c>
    </row>
    <row r="370" spans="18:18" x14ac:dyDescent="0.2">
      <c r="R370" t="s">
        <v>91</v>
      </c>
    </row>
    <row r="371" spans="18:18" x14ac:dyDescent="0.2">
      <c r="R371" t="s">
        <v>92</v>
      </c>
    </row>
    <row r="372" spans="18:18" x14ac:dyDescent="0.2">
      <c r="R372" t="s">
        <v>93</v>
      </c>
    </row>
    <row r="373" spans="18:18" x14ac:dyDescent="0.2">
      <c r="R373" t="s">
        <v>94</v>
      </c>
    </row>
    <row r="374" spans="18:18" x14ac:dyDescent="0.2">
      <c r="R374" t="s">
        <v>95</v>
      </c>
    </row>
    <row r="375" spans="18:18" x14ac:dyDescent="0.2">
      <c r="R375" t="s">
        <v>96</v>
      </c>
    </row>
    <row r="376" spans="18:18" x14ac:dyDescent="0.2">
      <c r="R376" t="s">
        <v>97</v>
      </c>
    </row>
    <row r="377" spans="18:18" x14ac:dyDescent="0.2">
      <c r="R377" t="s">
        <v>98</v>
      </c>
    </row>
    <row r="378" spans="18:18" x14ac:dyDescent="0.2">
      <c r="R378" t="s">
        <v>99</v>
      </c>
    </row>
    <row r="379" spans="18:18" x14ac:dyDescent="0.2">
      <c r="R379" t="s">
        <v>100</v>
      </c>
    </row>
    <row r="380" spans="18:18" x14ac:dyDescent="0.2">
      <c r="R380" t="s">
        <v>101</v>
      </c>
    </row>
    <row r="381" spans="18:18" x14ac:dyDescent="0.2">
      <c r="R381" t="s">
        <v>102</v>
      </c>
    </row>
    <row r="382" spans="18:18" x14ac:dyDescent="0.2">
      <c r="R382" t="s">
        <v>103</v>
      </c>
    </row>
    <row r="383" spans="18:18" x14ac:dyDescent="0.2">
      <c r="R383" t="s">
        <v>104</v>
      </c>
    </row>
    <row r="384" spans="18:18" x14ac:dyDescent="0.2">
      <c r="R384" t="s">
        <v>105</v>
      </c>
    </row>
    <row r="385" spans="18:18" x14ac:dyDescent="0.2">
      <c r="R385" t="s">
        <v>106</v>
      </c>
    </row>
    <row r="386" spans="18:18" x14ac:dyDescent="0.2">
      <c r="R386" t="s">
        <v>107</v>
      </c>
    </row>
    <row r="387" spans="18:18" x14ac:dyDescent="0.2">
      <c r="R387" t="s">
        <v>108</v>
      </c>
    </row>
    <row r="388" spans="18:18" x14ac:dyDescent="0.2">
      <c r="R388" t="s">
        <v>109</v>
      </c>
    </row>
    <row r="389" spans="18:18" x14ac:dyDescent="0.2">
      <c r="R389" t="s">
        <v>110</v>
      </c>
    </row>
    <row r="390" spans="18:18" x14ac:dyDescent="0.2">
      <c r="R390" t="s">
        <v>111</v>
      </c>
    </row>
    <row r="391" spans="18:18" x14ac:dyDescent="0.2">
      <c r="R391" t="s">
        <v>112</v>
      </c>
    </row>
    <row r="392" spans="18:18" x14ac:dyDescent="0.2">
      <c r="R392" t="s">
        <v>113</v>
      </c>
    </row>
    <row r="393" spans="18:18" x14ac:dyDescent="0.2">
      <c r="R393" t="s">
        <v>114</v>
      </c>
    </row>
    <row r="394" spans="18:18" x14ac:dyDescent="0.2">
      <c r="R394" t="s">
        <v>115</v>
      </c>
    </row>
    <row r="395" spans="18:18" x14ac:dyDescent="0.2">
      <c r="R395" t="s">
        <v>116</v>
      </c>
    </row>
    <row r="396" spans="18:18" x14ac:dyDescent="0.2">
      <c r="R396" t="s">
        <v>117</v>
      </c>
    </row>
    <row r="397" spans="18:18" x14ac:dyDescent="0.2">
      <c r="R397" t="s">
        <v>118</v>
      </c>
    </row>
    <row r="398" spans="18:18" x14ac:dyDescent="0.2">
      <c r="R398" t="s">
        <v>119</v>
      </c>
    </row>
    <row r="399" spans="18:18" x14ac:dyDescent="0.2">
      <c r="R399" t="s">
        <v>120</v>
      </c>
    </row>
    <row r="400" spans="18:18" x14ac:dyDescent="0.2">
      <c r="R400" t="s">
        <v>121</v>
      </c>
    </row>
    <row r="401" spans="18:18" x14ac:dyDescent="0.2">
      <c r="R401" t="s">
        <v>122</v>
      </c>
    </row>
    <row r="402" spans="18:18" x14ac:dyDescent="0.2">
      <c r="R402" t="s">
        <v>123</v>
      </c>
    </row>
    <row r="403" spans="18:18" x14ac:dyDescent="0.2">
      <c r="R403" t="s">
        <v>124</v>
      </c>
    </row>
    <row r="404" spans="18:18" x14ac:dyDescent="0.2">
      <c r="R404" t="s">
        <v>125</v>
      </c>
    </row>
    <row r="405" spans="18:18" x14ac:dyDescent="0.2">
      <c r="R405" t="s">
        <v>126</v>
      </c>
    </row>
    <row r="406" spans="18:18" x14ac:dyDescent="0.2">
      <c r="R406" t="s">
        <v>127</v>
      </c>
    </row>
    <row r="407" spans="18:18" x14ac:dyDescent="0.2">
      <c r="R407" t="s">
        <v>128</v>
      </c>
    </row>
    <row r="408" spans="18:18" x14ac:dyDescent="0.2">
      <c r="R408" t="s">
        <v>129</v>
      </c>
    </row>
    <row r="409" spans="18:18" x14ac:dyDescent="0.2">
      <c r="R409" t="s">
        <v>130</v>
      </c>
    </row>
    <row r="410" spans="18:18" x14ac:dyDescent="0.2">
      <c r="R410" t="s">
        <v>131</v>
      </c>
    </row>
    <row r="411" spans="18:18" x14ac:dyDescent="0.2">
      <c r="R411" t="s">
        <v>132</v>
      </c>
    </row>
    <row r="412" spans="18:18" x14ac:dyDescent="0.2">
      <c r="R412" t="s">
        <v>133</v>
      </c>
    </row>
    <row r="413" spans="18:18" x14ac:dyDescent="0.2">
      <c r="R413" s="47" t="s">
        <v>459</v>
      </c>
    </row>
    <row r="414" spans="18:18" x14ac:dyDescent="0.2">
      <c r="R414" s="47" t="s">
        <v>484</v>
      </c>
    </row>
    <row r="415" spans="18:18" x14ac:dyDescent="0.2">
      <c r="R415" s="47" t="s">
        <v>473</v>
      </c>
    </row>
    <row r="416" spans="18:18" x14ac:dyDescent="0.2">
      <c r="R416" s="47" t="s">
        <v>460</v>
      </c>
    </row>
    <row r="417" spans="18:18" x14ac:dyDescent="0.2">
      <c r="R417" s="47" t="s">
        <v>461</v>
      </c>
    </row>
    <row r="418" spans="18:18" x14ac:dyDescent="0.2">
      <c r="R418" s="47" t="s">
        <v>462</v>
      </c>
    </row>
    <row r="419" spans="18:18" x14ac:dyDescent="0.2">
      <c r="R419" s="47" t="s">
        <v>463</v>
      </c>
    </row>
    <row r="420" spans="18:18" x14ac:dyDescent="0.2">
      <c r="R420" s="47" t="s">
        <v>464</v>
      </c>
    </row>
    <row r="421" spans="18:18" x14ac:dyDescent="0.2">
      <c r="R421" s="47" t="s">
        <v>465</v>
      </c>
    </row>
    <row r="422" spans="18:18" x14ac:dyDescent="0.2">
      <c r="R422" s="47" t="s">
        <v>466</v>
      </c>
    </row>
    <row r="423" spans="18:18" x14ac:dyDescent="0.2">
      <c r="R423" s="47" t="s">
        <v>467</v>
      </c>
    </row>
    <row r="424" spans="18:18" x14ac:dyDescent="0.2">
      <c r="R424" s="47" t="s">
        <v>474</v>
      </c>
    </row>
    <row r="425" spans="18:18" x14ac:dyDescent="0.2">
      <c r="R425" s="47" t="s">
        <v>468</v>
      </c>
    </row>
    <row r="426" spans="18:18" x14ac:dyDescent="0.2">
      <c r="R426" s="47" t="s">
        <v>475</v>
      </c>
    </row>
    <row r="427" spans="18:18" x14ac:dyDescent="0.2">
      <c r="R427" s="47" t="s">
        <v>469</v>
      </c>
    </row>
    <row r="428" spans="18:18" x14ac:dyDescent="0.2">
      <c r="R428" s="47" t="s">
        <v>470</v>
      </c>
    </row>
    <row r="429" spans="18:18" x14ac:dyDescent="0.2">
      <c r="R429" s="47" t="s">
        <v>471</v>
      </c>
    </row>
    <row r="430" spans="18:18" x14ac:dyDescent="0.2">
      <c r="R430" s="47" t="s">
        <v>472</v>
      </c>
    </row>
  </sheetData>
  <mergeCells count="58">
    <mergeCell ref="H123:K124"/>
    <mergeCell ref="B227:E227"/>
    <mergeCell ref="H227:K227"/>
    <mergeCell ref="B247:E247"/>
    <mergeCell ref="H247:K247"/>
    <mergeCell ref="B217:E217"/>
    <mergeCell ref="H217:K217"/>
    <mergeCell ref="B138:E138"/>
    <mergeCell ref="H138:K138"/>
    <mergeCell ref="H148:K149"/>
    <mergeCell ref="B148:E149"/>
    <mergeCell ref="B159:E160"/>
    <mergeCell ref="H159:K160"/>
    <mergeCell ref="B171:E172"/>
    <mergeCell ref="H171:K172"/>
    <mergeCell ref="B183:E183"/>
    <mergeCell ref="H265:K265"/>
    <mergeCell ref="B265:E265"/>
    <mergeCell ref="B256:E256"/>
    <mergeCell ref="H256:K256"/>
    <mergeCell ref="B238:E238"/>
    <mergeCell ref="H238:K238"/>
    <mergeCell ref="H194:K194"/>
    <mergeCell ref="B206:E206"/>
    <mergeCell ref="A170:L170"/>
    <mergeCell ref="A237:L237"/>
    <mergeCell ref="B194:F194"/>
    <mergeCell ref="A204:L204"/>
    <mergeCell ref="H206:L206"/>
    <mergeCell ref="H182:K183"/>
    <mergeCell ref="A134:L134"/>
    <mergeCell ref="A34:L34"/>
    <mergeCell ref="B56:F57"/>
    <mergeCell ref="H56:L57"/>
    <mergeCell ref="A67:L67"/>
    <mergeCell ref="H69:L70"/>
    <mergeCell ref="B70:F70"/>
    <mergeCell ref="B123:E124"/>
    <mergeCell ref="B90:F90"/>
    <mergeCell ref="H90:L90"/>
    <mergeCell ref="A100:L100"/>
    <mergeCell ref="H102:K103"/>
    <mergeCell ref="B103:E103"/>
    <mergeCell ref="B35:F35"/>
    <mergeCell ref="H35:L35"/>
    <mergeCell ref="H45:L46"/>
    <mergeCell ref="A2:L11"/>
    <mergeCell ref="B113:E114"/>
    <mergeCell ref="H113:K114"/>
    <mergeCell ref="B46:F46"/>
    <mergeCell ref="B80:F80"/>
    <mergeCell ref="H80:L80"/>
    <mergeCell ref="A26:E26"/>
    <mergeCell ref="A16:E16"/>
    <mergeCell ref="A18:E18"/>
    <mergeCell ref="A20:E20"/>
    <mergeCell ref="A22:E22"/>
    <mergeCell ref="A24:E24"/>
  </mergeCells>
  <phoneticPr fontId="6" type="noConversion"/>
  <dataValidations count="1">
    <dataValidation type="list" allowBlank="1" showInputMessage="1" showErrorMessage="1" sqref="A16:E16 A26:E26 A24:E24 A22:E22 A20:E20 A18:E18">
      <formula1>$R$325:$R$430</formula1>
    </dataValidation>
  </dataValidations>
  <hyperlinks>
    <hyperlink ref="A309" r:id="rId1"/>
    <hyperlink ref="A310" r:id="rId2"/>
  </hyperlinks>
  <pageMargins left="0.5" right="0.25" top="0.5" bottom="0.64" header="0.3" footer="0.3"/>
  <pageSetup fitToHeight="0" orientation="landscape" r:id="rId3"/>
  <headerFooter differentFirst="1" alignWithMargins="0">
    <oddFooter>&amp;L&amp;"Tw Cen MT,Italic"
&amp;"Tw Cen MT,Regular"&amp;9Vital Statistics Trend Report&amp;"Tw Cen MT,Italic"
&amp;"Tw Cen MT,Regular"MDH, Center for Health Statistics&amp;C
&amp;R
&amp;"Tw Cen MT,Regular"&amp;9Oct 2017&amp;"Times New Roman,Regular"&amp;10
&amp;"Tw Cen MT,Regular"&amp;P</oddFooter>
  </headerFooter>
  <rowBreaks count="7" manualBreakCount="7">
    <brk id="33" max="11" man="1"/>
    <brk id="99" max="11" man="1"/>
    <brk id="133" max="11" man="1"/>
    <brk id="169" max="11" man="1"/>
    <brk id="203" max="11" man="1"/>
    <brk id="236" max="11" man="1"/>
    <brk id="274" max="11"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Template IF 2</vt:lpstr>
      <vt:lpstr>Title Page</vt:lpstr>
      <vt:lpstr>Instructions</vt:lpstr>
      <vt:lpstr>Trends</vt:lpstr>
      <vt:lpstr>Instructions!Print_Area</vt:lpstr>
      <vt:lpstr>Trends!Print_Area</vt:lpstr>
    </vt:vector>
  </TitlesOfParts>
  <Company>MDH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1993 2012 VS Trends</dc:title>
  <dc:creator>Minnesota Department of Health</dc:creator>
  <cp:lastModifiedBy>Kari Mentzer</cp:lastModifiedBy>
  <cp:lastPrinted>2018-03-30T20:18:07Z</cp:lastPrinted>
  <dcterms:created xsi:type="dcterms:W3CDTF">2007-03-30T18:14:35Z</dcterms:created>
  <dcterms:modified xsi:type="dcterms:W3CDTF">2019-08-06T20:15:44Z</dcterms:modified>
</cp:coreProperties>
</file>